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3CA8AC84-144F-472D-8AD0-56272E49A4F3}" xr6:coauthVersionLast="47" xr6:coauthVersionMax="47" xr10:uidLastSave="{00000000-0000-0000-0000-000000000000}"/>
  <bookViews>
    <workbookView xWindow="-120" yWindow="-120" windowWidth="25440" windowHeight="15390" firstSheet="3" activeTab="4"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8" i="3" l="1"/>
  <c r="AG442" i="3" l="1"/>
  <c r="AG443" i="3" s="1"/>
  <c r="G53" i="7" l="1"/>
  <c r="AD199" i="20"/>
  <c r="BE103" i="3" l="1"/>
  <c r="AC216" i="23"/>
  <c r="Y216" i="23"/>
  <c r="U216" i="23"/>
  <c r="BQ102" i="23"/>
  <c r="BQ101" i="23"/>
  <c r="N11" i="23"/>
  <c r="W879" i="3"/>
  <c r="W847"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U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9" i="21" l="1"/>
  <c r="U47" i="21"/>
  <c r="T47" i="21"/>
  <c r="S47" i="21"/>
  <c r="T45" i="21"/>
  <c r="S45" i="21"/>
  <c r="O51" i="21"/>
  <c r="R48" i="21" a="1"/>
  <c r="R48" i="21" s="1"/>
  <c r="T46" i="21"/>
  <c r="R47" i="21" a="1"/>
  <c r="R47" i="21" s="1"/>
  <c r="U48" i="21"/>
  <c r="U46" i="21"/>
  <c r="S46" i="21"/>
  <c r="O50" i="21"/>
  <c r="U45" i="21"/>
  <c r="T49" i="21"/>
  <c r="P48" i="21" a="1"/>
  <c r="P48" i="21" s="1"/>
  <c r="T51" i="21"/>
  <c r="S50" i="21"/>
  <c r="P51" i="21" a="1"/>
  <c r="P51" i="21" s="1"/>
  <c r="P50" i="21" a="1"/>
  <c r="P50" i="21" s="1"/>
  <c r="U53" i="21"/>
  <c r="S52" i="21"/>
  <c r="R49" i="21" a="1"/>
  <c r="R49" i="21" s="1"/>
  <c r="T53" i="21"/>
  <c r="P52" i="21" a="1"/>
  <c r="P52" i="21" s="1"/>
  <c r="S51" i="21"/>
  <c r="P49" i="21" a="1"/>
  <c r="P49" i="21" s="1"/>
  <c r="T48" i="21"/>
  <c r="R53" i="21" a="1"/>
  <c r="R53" i="21" s="1"/>
  <c r="R51" i="21" a="1"/>
  <c r="R51" i="21" s="1"/>
  <c r="U50" i="21"/>
  <c r="O49" i="21"/>
  <c r="S48"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AB8" i="23"/>
  <c r="L6" i="23"/>
  <c r="L4" i="23"/>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O105" i="23"/>
  <c r="R93" i="23"/>
  <c r="R80" i="23"/>
  <c r="AZ1052" i="3"/>
  <c r="BE8" i="3" l="1"/>
  <c r="BE9" i="3" s="1"/>
  <c r="BH247" i="3"/>
  <c r="T212" i="3"/>
  <c r="I14" i="21"/>
  <c r="G137" i="21"/>
  <c r="G86" i="21"/>
  <c r="B82" i="21"/>
  <c r="B67" i="21"/>
  <c r="B92" i="21"/>
  <c r="B58" i="21"/>
  <c r="B49" i="21"/>
  <c r="BA1042" i="3" l="1"/>
  <c r="BD1051" i="3" s="1" a="1"/>
  <c r="BD1051" i="3" s="1"/>
  <c r="C5" i="7"/>
  <c r="BE10" i="3"/>
  <c r="BE11" i="3" s="1"/>
  <c r="G37" i="21"/>
  <c r="P18" i="21"/>
  <c r="BE12" i="3" l="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AX689" i="20" l="1"/>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A40" i="7"/>
  <c r="E31" i="7"/>
  <c r="E30" i="7"/>
  <c r="E29" i="7"/>
  <c r="E27" i="7"/>
  <c r="E26" i="7"/>
  <c r="E15" i="7"/>
  <c r="G15" i="7" s="1"/>
  <c r="E21" i="7"/>
  <c r="G21" i="7" s="1"/>
  <c r="I21" i="7" s="1"/>
  <c r="K21" i="7" s="1"/>
  <c r="M21" i="7" s="1"/>
  <c r="O21" i="7" s="1"/>
  <c r="Q21" i="7" s="1"/>
  <c r="S21" i="7" s="1"/>
  <c r="U21" i="7" s="1"/>
  <c r="W21" i="7" s="1"/>
  <c r="Y21" i="7" s="1"/>
  <c r="AA21" i="7" s="1"/>
  <c r="AC21" i="7" s="1"/>
  <c r="AE21" i="7" s="1"/>
  <c r="AG21" i="7" s="1"/>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CU720" i="3"/>
  <c r="CU721" i="3"/>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CZ724" i="3"/>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6" i="2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R66" i="4"/>
  <c r="R67" i="4"/>
  <c r="R68" i="4"/>
  <c r="A104" i="11"/>
  <c r="C101" i="11"/>
  <c r="C102" i="11"/>
  <c r="C103" i="11"/>
  <c r="C104" i="11"/>
  <c r="B101" i="11"/>
  <c r="B102" i="11"/>
  <c r="B103" i="11"/>
  <c r="B104" i="11"/>
  <c r="C88" i="11"/>
  <c r="C93" i="11"/>
  <c r="C96" i="11"/>
  <c r="B88" i="11"/>
  <c r="B93" i="11"/>
  <c r="B96" i="11"/>
  <c r="A70" i="11"/>
  <c r="C67" i="11"/>
  <c r="C68" i="11"/>
  <c r="C69" i="11"/>
  <c r="B67" i="11"/>
  <c r="B68" i="11"/>
  <c r="B69" i="11"/>
  <c r="A62" i="11"/>
  <c r="A54" i="11"/>
  <c r="A38" i="11"/>
  <c r="A26" i="11"/>
  <c r="C33" i="11"/>
  <c r="C35" i="11"/>
  <c r="C37" i="11"/>
  <c r="B33" i="11"/>
  <c r="B35" i="11"/>
  <c r="B37" i="11"/>
  <c r="C24" i="11"/>
  <c r="C25" i="11"/>
  <c r="C26" i="11"/>
  <c r="B25" i="11"/>
  <c r="B26" i="11"/>
  <c r="D70" i="4"/>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B66" i="13"/>
  <c r="B67" i="13"/>
  <c r="B68" i="13"/>
  <c r="A53" i="13"/>
  <c r="H36" i="13"/>
  <c r="E36" i="13"/>
  <c r="B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I53" i="7"/>
  <c r="K53" i="7" s="1"/>
  <c r="A61" i="15"/>
  <c r="BA479" i="3"/>
  <c r="BA470" i="3"/>
  <c r="B100" i="4"/>
  <c r="R100" i="4"/>
  <c r="AQ119" i="20"/>
  <c r="AQ120" i="20"/>
  <c r="AQ121" i="20"/>
  <c r="AQ122" i="20"/>
  <c r="AQ123" i="20"/>
  <c r="AQ124" i="20"/>
  <c r="AQ125" i="20"/>
  <c r="AQ126" i="20"/>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B59" i="4"/>
  <c r="I96" i="13"/>
  <c r="J96" i="13"/>
  <c r="J81" i="13"/>
  <c r="I81" i="13"/>
  <c r="G81" i="13"/>
  <c r="D81" i="13"/>
  <c r="H80" i="13"/>
  <c r="D81" i="4"/>
  <c r="F81" i="4"/>
  <c r="G81" i="4"/>
  <c r="H81" i="4"/>
  <c r="I81" i="4"/>
  <c r="J81" i="4"/>
  <c r="K81" i="4"/>
  <c r="L81" i="4"/>
  <c r="M81" i="4"/>
  <c r="N81" i="4"/>
  <c r="O81" i="4"/>
  <c r="P81" i="4"/>
  <c r="Q81" i="4"/>
  <c r="T81" i="4"/>
  <c r="H81" i="13" s="1"/>
  <c r="A76" i="13"/>
  <c r="A61" i="13"/>
  <c r="A37" i="13"/>
  <c r="A25" i="13"/>
  <c r="A103" i="13"/>
  <c r="A95" i="13"/>
  <c r="A94" i="13"/>
  <c r="A93" i="13"/>
  <c r="B8" i="8"/>
  <c r="G8"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2" i="13"/>
  <c r="E91" i="13"/>
  <c r="E87" i="13"/>
  <c r="E49" i="13"/>
  <c r="E34" i="13"/>
  <c r="E32" i="13"/>
  <c r="F32" i="13" s="1"/>
  <c r="E27" i="13"/>
  <c r="E25" i="13"/>
  <c r="E23" i="13"/>
  <c r="E22" i="13"/>
  <c r="E21" i="13"/>
  <c r="E20" i="13"/>
  <c r="E19" i="13"/>
  <c r="E18" i="13"/>
  <c r="E17" i="13"/>
  <c r="E15" i="13"/>
  <c r="E14" i="13"/>
  <c r="E10" i="13"/>
  <c r="B95" i="13"/>
  <c r="B92" i="13"/>
  <c r="B87" i="13"/>
  <c r="B76" i="13"/>
  <c r="B74" i="13"/>
  <c r="B73" i="13"/>
  <c r="B72" i="13"/>
  <c r="B60" i="13"/>
  <c r="B59" i="13"/>
  <c r="B49" i="13"/>
  <c r="B34" i="13"/>
  <c r="B32" i="13"/>
  <c r="C32" i="13" s="1"/>
  <c r="B27" i="13"/>
  <c r="B25" i="13"/>
  <c r="B23" i="13"/>
  <c r="B22" i="13"/>
  <c r="B21" i="13"/>
  <c r="B20" i="13"/>
  <c r="B19" i="13"/>
  <c r="B18" i="13"/>
  <c r="B17" i="13"/>
  <c r="B5" i="13"/>
  <c r="B6" i="13"/>
  <c r="B7" i="13"/>
  <c r="C8" i="4"/>
  <c r="B8" i="13" s="1"/>
  <c r="B9" i="13"/>
  <c r="B10" i="13"/>
  <c r="B14" i="13"/>
  <c r="B15" i="13"/>
  <c r="B4"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C8" i="13"/>
  <c r="D8" i="13"/>
  <c r="T104" i="4"/>
  <c r="H104" i="13" s="1"/>
  <c r="R103" i="4"/>
  <c r="R102" i="4"/>
  <c r="R101" i="4"/>
  <c r="R95" i="4"/>
  <c r="R92" i="4"/>
  <c r="R87" i="4"/>
  <c r="R76" i="4"/>
  <c r="R72" i="4"/>
  <c r="R73" i="4"/>
  <c r="R74" i="4"/>
  <c r="R60" i="4"/>
  <c r="R59" i="4"/>
  <c r="R49" i="4"/>
  <c r="R34" i="4"/>
  <c r="R32" i="4"/>
  <c r="R27" i="4"/>
  <c r="R25" i="4"/>
  <c r="R23" i="4"/>
  <c r="R22" i="4"/>
  <c r="R21" i="4"/>
  <c r="R20" i="4"/>
  <c r="R19" i="4"/>
  <c r="R18" i="4"/>
  <c r="R17" i="4"/>
  <c r="R15" i="4"/>
  <c r="R14" i="4"/>
  <c r="R9" i="4"/>
  <c r="R7" i="4"/>
  <c r="R6" i="4"/>
  <c r="R5" i="4"/>
  <c r="R4" i="4"/>
  <c r="B5" i="11"/>
  <c r="C5" i="11"/>
  <c r="B6" i="11"/>
  <c r="C6" i="11"/>
  <c r="B7" i="11"/>
  <c r="C7" i="11"/>
  <c r="C8" i="11"/>
  <c r="B8" i="11"/>
  <c r="B10" i="11"/>
  <c r="B11" i="11"/>
  <c r="C10" i="11"/>
  <c r="C11" i="11"/>
  <c r="B15" i="11"/>
  <c r="C15" i="11"/>
  <c r="B16" i="11"/>
  <c r="C16" i="11"/>
  <c r="B18" i="11"/>
  <c r="C18" i="11"/>
  <c r="B19" i="11"/>
  <c r="C19" i="11"/>
  <c r="B20" i="11"/>
  <c r="C20" i="11"/>
  <c r="B21" i="11"/>
  <c r="C21" i="11"/>
  <c r="B22" i="11"/>
  <c r="C22" i="11"/>
  <c r="B23" i="11"/>
  <c r="C23" i="11"/>
  <c r="B24" i="11"/>
  <c r="B28" i="11"/>
  <c r="C28" i="11"/>
  <c r="B50" i="11"/>
  <c r="C50" i="11"/>
  <c r="B60" i="11"/>
  <c r="C60" i="11"/>
  <c r="B61" i="11"/>
  <c r="C61" i="11"/>
  <c r="B73" i="11"/>
  <c r="C73" i="11"/>
  <c r="B74" i="11"/>
  <c r="C74" i="11"/>
  <c r="B75" i="11"/>
  <c r="C75" i="11"/>
  <c r="B77" i="11"/>
  <c r="C77" i="11"/>
  <c r="A4" i="8"/>
  <c r="A5" i="8"/>
  <c r="A6" i="8"/>
  <c r="A7" i="8"/>
  <c r="A8" i="8"/>
  <c r="A9" i="8"/>
  <c r="A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32" i="4"/>
  <c r="B34" i="4"/>
  <c r="H38" i="4"/>
  <c r="K38" i="4"/>
  <c r="L38" i="4"/>
  <c r="O38" i="4"/>
  <c r="P38" i="4"/>
  <c r="P42" i="4"/>
  <c r="P54" i="4"/>
  <c r="P62" i="4"/>
  <c r="P70" i="4"/>
  <c r="P77" i="4"/>
  <c r="P96" i="4"/>
  <c r="P104" i="4"/>
  <c r="Q38" i="4"/>
  <c r="G42" i="4"/>
  <c r="H42" i="4"/>
  <c r="K42" i="4"/>
  <c r="L42" i="4"/>
  <c r="O42" i="4"/>
  <c r="Q42" i="4"/>
  <c r="B49" i="4"/>
  <c r="G54" i="4"/>
  <c r="H54" i="4"/>
  <c r="K54" i="4"/>
  <c r="L54" i="4"/>
  <c r="O54" i="4"/>
  <c r="Q54" i="4"/>
  <c r="B60" i="4"/>
  <c r="G62" i="4"/>
  <c r="H62" i="4"/>
  <c r="K62" i="4"/>
  <c r="L62" i="4"/>
  <c r="O62" i="4"/>
  <c r="O70" i="4"/>
  <c r="O77" i="4"/>
  <c r="O96" i="4"/>
  <c r="O104" i="4"/>
  <c r="Q62" i="4"/>
  <c r="F70" i="4"/>
  <c r="G70" i="4"/>
  <c r="H70" i="4"/>
  <c r="I70" i="4"/>
  <c r="K70" i="4"/>
  <c r="L70" i="4"/>
  <c r="Q70" i="4"/>
  <c r="B72" i="4"/>
  <c r="B73" i="4"/>
  <c r="B74" i="4"/>
  <c r="B76" i="4"/>
  <c r="F77" i="4"/>
  <c r="G77" i="4"/>
  <c r="H77" i="4"/>
  <c r="I77" i="4"/>
  <c r="K77" i="4"/>
  <c r="L77" i="4"/>
  <c r="Q77" i="4"/>
  <c r="B87" i="4"/>
  <c r="B92" i="4"/>
  <c r="B95" i="4"/>
  <c r="F96" i="4"/>
  <c r="G96" i="4"/>
  <c r="H96" i="4"/>
  <c r="I96" i="4"/>
  <c r="K96" i="4"/>
  <c r="L96" i="4"/>
  <c r="Q96" i="4"/>
  <c r="B101" i="4"/>
  <c r="B102" i="4"/>
  <c r="B103" i="4"/>
  <c r="F104" i="4"/>
  <c r="I104" i="4"/>
  <c r="K104" i="4"/>
  <c r="L104" i="4"/>
  <c r="Q104" i="4"/>
  <c r="H108" i="4"/>
  <c r="H99" i="4" s="1"/>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30" i="3"/>
  <c r="X731" i="3"/>
  <c r="X732" i="3"/>
  <c r="X733" i="3"/>
  <c r="X734" i="3"/>
  <c r="X735" i="3"/>
  <c r="X736" i="3"/>
  <c r="X737" i="3"/>
  <c r="X738" i="3"/>
  <c r="X739" i="3"/>
  <c r="X740" i="3"/>
  <c r="X741" i="3"/>
  <c r="M832" i="3"/>
  <c r="Q832" i="3"/>
  <c r="U832" i="3"/>
  <c r="Y832" i="3"/>
  <c r="AC832" i="3"/>
  <c r="AG832" i="3"/>
  <c r="Z902" i="3"/>
  <c r="G38" i="4" l="1"/>
  <c r="G63" i="4" s="1"/>
  <c r="G97" i="4" s="1"/>
  <c r="H104" i="4"/>
  <c r="D35" i="11"/>
  <c r="B26" i="4"/>
  <c r="D103" i="11"/>
  <c r="D6" i="11"/>
  <c r="D25" i="11"/>
  <c r="D93" i="11"/>
  <c r="D101" i="11"/>
  <c r="D33" i="11"/>
  <c r="D96" i="11"/>
  <c r="D88" i="11"/>
  <c r="D104" i="11"/>
  <c r="B8" i="4"/>
  <c r="N189" i="23" s="1"/>
  <c r="G144" i="21"/>
  <c r="G143" i="21"/>
  <c r="C12" i="4"/>
  <c r="B12" i="13" s="1"/>
  <c r="D75" i="11"/>
  <c r="L12" i="4"/>
  <c r="H12" i="4"/>
  <c r="D20" i="11"/>
  <c r="D15" i="11"/>
  <c r="D8" i="11"/>
  <c r="D12" i="13"/>
  <c r="D74" i="11"/>
  <c r="C12" i="13"/>
  <c r="D77" i="11"/>
  <c r="D73" i="11"/>
  <c r="D50" i="11"/>
  <c r="D21" i="11"/>
  <c r="D16" i="11"/>
  <c r="B12" i="11"/>
  <c r="D5" i="11"/>
  <c r="D28" i="11"/>
  <c r="N63" i="4"/>
  <c r="N97" i="4" s="1"/>
  <c r="N105" i="4" s="1"/>
  <c r="E12" i="4"/>
  <c r="D12" i="4"/>
  <c r="F12" i="4"/>
  <c r="D11" i="11"/>
  <c r="D24" i="11"/>
  <c r="O12" i="4"/>
  <c r="D10" i="11"/>
  <c r="Q12" i="4"/>
  <c r="K12" i="4"/>
  <c r="D61" i="11"/>
  <c r="B9" i="11"/>
  <c r="J12" i="4"/>
  <c r="D22" i="11"/>
  <c r="O63" i="4"/>
  <c r="O97" i="4" s="1"/>
  <c r="O105" i="4" s="1"/>
  <c r="M63" i="4"/>
  <c r="M97" i="4" s="1"/>
  <c r="M105" i="4" s="1"/>
  <c r="N12" i="4"/>
  <c r="I12" i="4"/>
  <c r="D102" i="11"/>
  <c r="P63" i="4"/>
  <c r="P97" i="4" s="1"/>
  <c r="P105" i="4" s="1"/>
  <c r="I63" i="13"/>
  <c r="I97" i="13" s="1"/>
  <c r="I105" i="13" s="1"/>
  <c r="I107" i="13" s="1"/>
  <c r="R11" i="4"/>
  <c r="G58" i="7"/>
  <c r="I63" i="4"/>
  <c r="I97" i="4" s="1"/>
  <c r="I105" i="4" s="1"/>
  <c r="L63" i="4"/>
  <c r="L97" i="4" s="1"/>
  <c r="L105" i="4" s="1"/>
  <c r="D18" i="11"/>
  <c r="C12" i="11"/>
  <c r="J63" i="4"/>
  <c r="J97" i="4" s="1"/>
  <c r="J105" i="4" s="1"/>
  <c r="Q63" i="4"/>
  <c r="Q97" i="4" s="1"/>
  <c r="Q105" i="4" s="1"/>
  <c r="B11" i="4"/>
  <c r="J63" i="13"/>
  <c r="J97" i="13" s="1"/>
  <c r="J105" i="13" s="1"/>
  <c r="J107" i="13" s="1"/>
  <c r="D60" i="11"/>
  <c r="M12" i="4"/>
  <c r="D63" i="4"/>
  <c r="D97" i="4" s="1"/>
  <c r="D105" i="4" s="1"/>
  <c r="BE68" i="3" s="1"/>
  <c r="R26" i="4"/>
  <c r="D63" i="13"/>
  <c r="D97" i="13" s="1"/>
  <c r="D105" i="13" s="1"/>
  <c r="D23" i="11"/>
  <c r="D19" i="11"/>
  <c r="D7" i="11"/>
  <c r="R8" i="4"/>
  <c r="G63" i="13"/>
  <c r="G97" i="13" s="1"/>
  <c r="G105" i="13" s="1"/>
  <c r="G107" i="13" s="1"/>
  <c r="M53" i="7"/>
  <c r="K58" i="7"/>
  <c r="C27" i="11"/>
  <c r="H63" i="4"/>
  <c r="H97" i="4" s="1"/>
  <c r="I58" i="7"/>
  <c r="C9" i="11"/>
  <c r="T63" i="4"/>
  <c r="K63" i="4"/>
  <c r="K97" i="4" s="1"/>
  <c r="K105" i="4" s="1"/>
  <c r="CI753" i="3"/>
  <c r="X1048" i="3" s="1"/>
  <c r="BG243" i="3"/>
  <c r="BO245" i="3" s="1"/>
  <c r="T267" i="3" s="1"/>
  <c r="J7" i="8"/>
  <c r="J40" i="8" s="1"/>
  <c r="Z809" i="3" s="1"/>
  <c r="S38" i="21"/>
  <c r="S37" i="21"/>
  <c r="S36" i="21"/>
  <c r="S43" i="21"/>
  <c r="S35" i="21"/>
  <c r="S42" i="21"/>
  <c r="S34" i="21"/>
  <c r="U20" i="21"/>
  <c r="S41" i="21"/>
  <c r="U33" i="21"/>
  <c r="S33" i="21"/>
  <c r="S40" i="21"/>
  <c r="U32" i="21"/>
  <c r="S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R30" i="21" a="1"/>
  <c r="R30" i="21" s="1"/>
  <c r="U30" i="21"/>
  <c r="T40" i="21"/>
  <c r="U40" i="21"/>
  <c r="T39" i="21"/>
  <c r="U39" i="21"/>
  <c r="T31" i="21"/>
  <c r="U31" i="21"/>
  <c r="T23" i="21"/>
  <c r="U23" i="21"/>
  <c r="AO23" i="20"/>
  <c r="AY1024" i="3"/>
  <c r="AF1017" i="3" s="1"/>
  <c r="C9" i="7"/>
  <c r="C7" i="7"/>
  <c r="G12" i="4"/>
  <c r="AF1014" i="3"/>
  <c r="G99" i="21"/>
  <c r="AA29" i="7"/>
  <c r="O29" i="7"/>
  <c r="C798" i="3"/>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Y607" i="20"/>
  <c r="AP587" i="20"/>
  <c r="AB234" i="20"/>
  <c r="AB250" i="20" s="1"/>
  <c r="AB252" i="20" s="1"/>
  <c r="AB254" i="20" s="1"/>
  <c r="AB260" i="20" s="1"/>
  <c r="AD209" i="20" s="1"/>
  <c r="AD211" i="20" s="1"/>
  <c r="AO71" i="20"/>
  <c r="AP375" i="20"/>
  <c r="AQ375" i="20" s="1"/>
  <c r="AK535" i="20"/>
  <c r="T813" i="20" s="1"/>
  <c r="AF813" i="20" s="1"/>
  <c r="CU753" i="3"/>
  <c r="EC648" i="3" s="1"/>
  <c r="Y7" i="15"/>
  <c r="AI7" i="15"/>
  <c r="EZ718" i="3"/>
  <c r="CP753" i="3"/>
  <c r="DX669" i="3" s="1"/>
  <c r="DU753" i="3"/>
  <c r="AG29" i="7"/>
  <c r="K29" i="7"/>
  <c r="S29" i="7"/>
  <c r="AK183" i="20"/>
  <c r="AP366" i="20"/>
  <c r="AQ366" i="20" s="1"/>
  <c r="T816" i="20"/>
  <c r="AO18" i="20"/>
  <c r="T808" i="20"/>
  <c r="AF808" i="20" s="1"/>
  <c r="BE75" i="3" s="1"/>
  <c r="R21" i="21" a="1"/>
  <c r="R21" i="21" s="1"/>
  <c r="P43" i="21" a="1"/>
  <c r="P43" i="21"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AC29" i="7"/>
  <c r="M29" i="7"/>
  <c r="G29" i="7"/>
  <c r="Q29" i="7"/>
  <c r="AE29" i="7"/>
  <c r="P36" i="21" a="1"/>
  <c r="P36" i="21" s="1"/>
  <c r="T28" i="21"/>
  <c r="W29" i="7"/>
  <c r="P40" i="21" a="1"/>
  <c r="P40" i="21" s="1"/>
  <c r="U29" i="7"/>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DZ797" i="3"/>
  <c r="R35" i="21" a="1"/>
  <c r="R35" i="21" s="1"/>
  <c r="R43" i="21" a="1"/>
  <c r="R43" i="21" s="1"/>
  <c r="R31" i="21" a="1"/>
  <c r="R31" i="21" s="1"/>
  <c r="R988" i="3"/>
  <c r="R987" i="3"/>
  <c r="R986" i="3"/>
  <c r="T41" i="21"/>
  <c r="R23" i="21" a="1"/>
  <c r="R23" i="21" s="1"/>
  <c r="R40" i="21" a="1"/>
  <c r="R40" i="21" s="1"/>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R37" i="21" a="1"/>
  <c r="R37" i="21" s="1"/>
  <c r="P37" i="21" a="1"/>
  <c r="P37" i="21" s="1"/>
  <c r="T37" i="21"/>
  <c r="DO753" i="3"/>
  <c r="AX693" i="20" s="1"/>
  <c r="DE753" i="3"/>
  <c r="AX691" i="20" s="1"/>
  <c r="ET797" i="3"/>
  <c r="DJ797" i="3"/>
  <c r="DN798" i="3" s="1"/>
  <c r="EO787" i="3"/>
  <c r="EO797" i="3" s="1"/>
  <c r="EJ797" i="3"/>
  <c r="DE797" i="3"/>
  <c r="DI798" i="3" s="1"/>
  <c r="DU790" i="3"/>
  <c r="DU797" i="3" s="1"/>
  <c r="CP797" i="3"/>
  <c r="P39" i="21" a="1"/>
  <c r="P39" i="21" s="1"/>
  <c r="R36" i="21" a="1"/>
  <c r="R36" i="21" s="1"/>
  <c r="R22" i="21" a="1"/>
  <c r="R22" i="21" s="1"/>
  <c r="T38" i="21"/>
  <c r="T29" i="21"/>
  <c r="T20" i="21"/>
  <c r="P38" i="21" a="1"/>
  <c r="P38" i="21" s="1"/>
  <c r="R38" i="21" a="1"/>
  <c r="R38" i="21" s="1"/>
  <c r="R20" i="21" a="1"/>
  <c r="R20" i="21" s="1"/>
  <c r="P33" i="21" a="1"/>
  <c r="P33" i="21" s="1"/>
  <c r="P42" i="21" a="1"/>
  <c r="P42" i="21" s="1"/>
  <c r="R33" i="21" a="1"/>
  <c r="R33" i="21" s="1"/>
  <c r="R24" i="21" a="1"/>
  <c r="R24" i="21" s="1"/>
  <c r="E27" i="21"/>
  <c r="G60" i="21"/>
  <c r="E24" i="21"/>
  <c r="F24" i="21" s="1"/>
  <c r="I15" i="7"/>
  <c r="E28" i="21"/>
  <c r="E25" i="21"/>
  <c r="F25" i="21" s="1"/>
  <c r="G25" i="21" s="1"/>
  <c r="H105" i="4" l="1"/>
  <c r="AJ621" i="20"/>
  <c r="AK794" i="20" s="1"/>
  <c r="T819" i="20" s="1"/>
  <c r="AF819" i="20" s="1"/>
  <c r="BE82" i="3" s="1"/>
  <c r="G94" i="21"/>
  <c r="B12" i="4"/>
  <c r="R12" i="4"/>
  <c r="D12" i="11"/>
  <c r="B13" i="11"/>
  <c r="D27" i="11"/>
  <c r="T97" i="4"/>
  <c r="H63" i="13"/>
  <c r="AO39" i="20"/>
  <c r="AK62" i="20" s="1"/>
  <c r="T804" i="20" s="1"/>
  <c r="AF804" i="20" s="1"/>
  <c r="BE71" i="3" s="1"/>
  <c r="D9" i="11"/>
  <c r="C13" i="11"/>
  <c r="O53" i="7"/>
  <c r="M58" i="7"/>
  <c r="BA1039" i="3"/>
  <c r="BA1048" i="3" s="1" a="1"/>
  <c r="BA1048" i="3" s="1"/>
  <c r="AO42" i="20"/>
  <c r="AS360" i="20"/>
  <c r="G130" i="21"/>
  <c r="G132" i="21" s="1"/>
  <c r="I16" i="21" s="1"/>
  <c r="DX635" i="3"/>
  <c r="AX694" i="20"/>
  <c r="AS362" i="20"/>
  <c r="AS358" i="20" s="1"/>
  <c r="AK469" i="20" s="1"/>
  <c r="T817" i="20" s="1"/>
  <c r="AF817" i="20" s="1"/>
  <c r="BE80" i="3" s="1"/>
  <c r="DX661" i="3"/>
  <c r="CT755" i="3"/>
  <c r="CP802" i="3"/>
  <c r="AB986" i="3" s="1"/>
  <c r="DX660" i="3"/>
  <c r="DX664" i="3"/>
  <c r="DX666" i="3"/>
  <c r="DX665" i="3"/>
  <c r="DX662" i="3"/>
  <c r="DX658" i="3"/>
  <c r="DX663" i="3"/>
  <c r="DX667" i="3"/>
  <c r="DX659"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EC652" i="3"/>
  <c r="T815" i="20"/>
  <c r="AF815" i="20" s="1"/>
  <c r="BE79" i="3" s="1"/>
  <c r="Y27" i="15"/>
  <c r="AI27" i="15"/>
  <c r="T27" i="15"/>
  <c r="EC645" i="3"/>
  <c r="EC647" i="3"/>
  <c r="EC653" i="3"/>
  <c r="EC649" i="3"/>
  <c r="DX646" i="3"/>
  <c r="EC650" i="3"/>
  <c r="DU778" i="3"/>
  <c r="EC657" i="3"/>
  <c r="EC656" i="3"/>
  <c r="EC643" i="3"/>
  <c r="EC668" i="3"/>
  <c r="EC669" i="3"/>
  <c r="EC646" i="3"/>
  <c r="EC651" i="3"/>
  <c r="EC640" i="3"/>
  <c r="EC644" i="3"/>
  <c r="EC655" i="3"/>
  <c r="EM636" i="3"/>
  <c r="EC654" i="3"/>
  <c r="EC641" i="3"/>
  <c r="DU777" i="3"/>
  <c r="EC642"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DX649" i="3"/>
  <c r="DX640" i="3"/>
  <c r="DX642" i="3"/>
  <c r="DX641" i="3"/>
  <c r="DX656" i="3"/>
  <c r="DX652" i="3"/>
  <c r="DX647" i="3"/>
  <c r="DX655" i="3"/>
  <c r="DX644" i="3"/>
  <c r="DX654" i="3"/>
  <c r="DX648" i="3"/>
  <c r="DX651" i="3"/>
  <c r="DX638" i="3"/>
  <c r="DX650" i="3"/>
  <c r="DX643" i="3"/>
  <c r="EW651" i="3"/>
  <c r="DX637" i="3"/>
  <c r="EZ753" i="3"/>
  <c r="ER650" i="3"/>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T799" i="3"/>
  <c r="FO753" i="3"/>
  <c r="EM635" i="3"/>
  <c r="EM643" i="3"/>
  <c r="E6" i="7"/>
  <c r="K15" i="7"/>
  <c r="G24" i="21"/>
  <c r="AK84" i="20" l="1"/>
  <c r="AK191" i="20" s="1"/>
  <c r="T811" i="20" s="1"/>
  <c r="AF811" i="20" s="1"/>
  <c r="BE76" i="3" s="1"/>
  <c r="D13" i="11"/>
  <c r="O58" i="7"/>
  <c r="Q53" i="7"/>
  <c r="T105" i="4"/>
  <c r="H97" i="13"/>
  <c r="P29" i="21" a="1"/>
  <c r="P29" i="21" s="1"/>
  <c r="S29" i="21" s="1"/>
  <c r="P31" i="21" a="1"/>
  <c r="P31" i="21" s="1"/>
  <c r="S31" i="21" s="1"/>
  <c r="P30" i="21" a="1"/>
  <c r="P30" i="21" s="1"/>
  <c r="S30" i="21" s="1"/>
  <c r="P28" i="21" a="1"/>
  <c r="P28" i="21" s="1"/>
  <c r="S28" i="21" s="1"/>
  <c r="P27" i="21" a="1"/>
  <c r="P27" i="21" s="1"/>
  <c r="S27" i="21" s="1"/>
  <c r="DX670" i="3"/>
  <c r="E130" i="20" s="1"/>
  <c r="E133" i="20" s="1"/>
  <c r="EW670" i="3"/>
  <c r="AD130" i="20" s="1"/>
  <c r="AD133" i="20" s="1"/>
  <c r="ER670" i="3"/>
  <c r="Y130" i="20" s="1"/>
  <c r="Y133" i="20" s="1"/>
  <c r="EM670" i="3"/>
  <c r="T130" i="20" s="1"/>
  <c r="T133" i="20" s="1"/>
  <c r="AJ986" i="3"/>
  <c r="AB990" i="3"/>
  <c r="AJ990" i="3" s="1"/>
  <c r="G6" i="7"/>
  <c r="E7" i="7"/>
  <c r="M15" i="7"/>
  <c r="T805" i="20" l="1"/>
  <c r="AF805" i="20" s="1"/>
  <c r="BE72" i="3" s="1"/>
  <c r="H105" i="13"/>
  <c r="T107" i="4"/>
  <c r="H107" i="13" s="1"/>
  <c r="Q58" i="7"/>
  <c r="S53" i="7"/>
  <c r="I6" i="7"/>
  <c r="G7" i="7"/>
  <c r="O15" i="7"/>
  <c r="AD11" i="15" l="1"/>
  <c r="AD23" i="15" s="1"/>
  <c r="AD26" i="15" s="1"/>
  <c r="AD28" i="15" s="1"/>
  <c r="AI11" i="15"/>
  <c r="AI23" i="15" s="1"/>
  <c r="AI26" i="15" s="1"/>
  <c r="AI28" i="15" s="1"/>
  <c r="AJ1016" i="3"/>
  <c r="S58" i="7"/>
  <c r="U53" i="7"/>
  <c r="K6" i="7"/>
  <c r="I7" i="7"/>
  <c r="Q15" i="7"/>
  <c r="U58" i="7" l="1"/>
  <c r="W53" i="7"/>
  <c r="M6" i="7"/>
  <c r="K7" i="7"/>
  <c r="S15" i="7"/>
  <c r="W58" i="7" l="1"/>
  <c r="Y53" i="7"/>
  <c r="M7" i="7"/>
  <c r="O6" i="7"/>
  <c r="U15" i="7"/>
  <c r="AA53" i="7" l="1"/>
  <c r="Y58" i="7"/>
  <c r="E70" i="7"/>
  <c r="O7" i="7"/>
  <c r="Q6" i="7"/>
  <c r="W15" i="7"/>
  <c r="AC53" i="7" l="1"/>
  <c r="AA58" i="7"/>
  <c r="Q7" i="7"/>
  <c r="S6" i="7"/>
  <c r="Y15" i="7"/>
  <c r="AE53" i="7" l="1"/>
  <c r="AC58" i="7"/>
  <c r="S7" i="7"/>
  <c r="U6" i="7"/>
  <c r="AA15" i="7"/>
  <c r="AG53" i="7" l="1"/>
  <c r="AG58" i="7" s="1"/>
  <c r="AE58" i="7"/>
  <c r="U7" i="7"/>
  <c r="W6" i="7"/>
  <c r="AC15" i="7"/>
  <c r="Y6" i="7" l="1"/>
  <c r="W7" i="7"/>
  <c r="AE15" i="7"/>
  <c r="Y7" i="7" l="1"/>
  <c r="AA6" i="7"/>
  <c r="AG15" i="7"/>
  <c r="AC6" i="7" l="1"/>
  <c r="AA7" i="7"/>
  <c r="AE6" i="7" l="1"/>
  <c r="AC7" i="7"/>
  <c r="AE7" i="7" l="1"/>
  <c r="AG6" i="7"/>
  <c r="AG7" i="7" l="1"/>
  <c r="AZ723" i="3" l="1"/>
  <c r="AN19" i="23" a="1"/>
  <c r="AN19" i="23" s="1"/>
  <c r="AH19" i="23" a="1"/>
  <c r="AH19" i="23" s="1"/>
  <c r="AB23" i="23" a="1"/>
  <c r="AB23" i="23" s="1"/>
  <c r="P22" i="23" a="1"/>
  <c r="P22" i="23" s="1"/>
  <c r="AB20" i="23" a="1"/>
  <c r="AB20" i="23" s="1"/>
  <c r="AB19" i="23" a="1"/>
  <c r="AB19" i="23" s="1"/>
  <c r="AN23" i="23" a="1"/>
  <c r="AN23" i="23" s="1"/>
  <c r="AB22" i="23" a="1"/>
  <c r="AB22" i="23" s="1"/>
  <c r="P21" i="23" a="1"/>
  <c r="P21" i="23" s="1"/>
  <c r="V19" i="23" a="1"/>
  <c r="V19" i="23" s="1"/>
  <c r="AH23" i="23" a="1"/>
  <c r="AH23" i="23" s="1"/>
  <c r="V22" i="23" a="1"/>
  <c r="V22" i="23" s="1"/>
  <c r="AB21" i="23" a="1"/>
  <c r="AB21" i="23" s="1"/>
  <c r="AN24" i="23" a="1"/>
  <c r="AN24" i="23" s="1"/>
  <c r="P19" i="23" a="1"/>
  <c r="P19" i="23" s="1"/>
  <c r="V20" i="23" a="1"/>
  <c r="V20" i="23" s="1"/>
  <c r="AB24" i="23" a="1"/>
  <c r="AB24" i="23" s="1"/>
  <c r="V24" i="23" a="1"/>
  <c r="V24" i="23" s="1"/>
  <c r="AH21" i="23" a="1"/>
  <c r="AH21" i="23" s="1"/>
  <c r="AN20" i="23" a="1"/>
  <c r="AN20" i="23" s="1"/>
  <c r="P24" i="23" a="1"/>
  <c r="P24" i="23" s="1"/>
  <c r="P23" i="23" a="1"/>
  <c r="P23" i="23" s="1"/>
  <c r="AH20" i="23" a="1"/>
  <c r="AH20" i="23" s="1"/>
  <c r="V21" i="23" a="1"/>
  <c r="V21" i="23" s="1"/>
  <c r="AH24" i="23" a="1"/>
  <c r="AH24" i="23" s="1"/>
  <c r="AH22" i="23" a="1"/>
  <c r="AH22" i="23" s="1"/>
  <c r="P20" i="23" a="1"/>
  <c r="P20" i="23" s="1"/>
  <c r="V23" i="23" a="1"/>
  <c r="V23" i="23" s="1"/>
  <c r="AN21" i="23" a="1"/>
  <c r="AN21" i="23" s="1"/>
  <c r="AN22" i="23" a="1"/>
  <c r="AN22" i="23" s="1"/>
  <c r="BE13" i="3"/>
  <c r="BE14" i="3" s="1"/>
  <c r="BE15" i="3" s="1"/>
  <c r="G753" i="3"/>
  <c r="CZ723" i="3"/>
  <c r="AV118" i="20" a="1"/>
  <c r="AV118" i="20" s="1"/>
  <c r="AV117" i="20" a="1"/>
  <c r="AV117" i="20" s="1"/>
  <c r="M25" i="21"/>
  <c r="AV116" i="20" a="1"/>
  <c r="AV116" i="20" s="1"/>
  <c r="AV120" i="20" a="1"/>
  <c r="AV120" i="20" s="1"/>
  <c r="BF723" i="3"/>
  <c r="BF753" i="3" s="1"/>
  <c r="AV121" i="20" a="1"/>
  <c r="AV121" i="20" s="1"/>
  <c r="BS723" i="3"/>
  <c r="BS753" i="3" s="1"/>
  <c r="B9" i="8"/>
  <c r="G9" i="8" s="1"/>
  <c r="G40" i="8" s="1"/>
  <c r="AV119" i="20" a="1"/>
  <c r="AV119" i="20" s="1"/>
  <c r="BG741" i="3" l="1"/>
  <c r="BH741" i="3" s="1"/>
  <c r="BG722" i="3"/>
  <c r="BH722" i="3" s="1"/>
  <c r="BG721" i="3"/>
  <c r="BH721" i="3" s="1"/>
  <c r="BG736" i="3"/>
  <c r="BH736" i="3" s="1"/>
  <c r="BG732" i="3"/>
  <c r="BH732" i="3" s="1"/>
  <c r="BG726" i="3"/>
  <c r="BH726" i="3" s="1"/>
  <c r="BG718" i="3"/>
  <c r="BG733" i="3"/>
  <c r="BH733" i="3" s="1"/>
  <c r="BG743" i="3"/>
  <c r="BH743" i="3" s="1"/>
  <c r="BG730" i="3"/>
  <c r="BH730" i="3" s="1"/>
  <c r="BG749" i="3"/>
  <c r="BH749" i="3" s="1"/>
  <c r="BG738" i="3"/>
  <c r="BH738" i="3" s="1"/>
  <c r="BG737" i="3"/>
  <c r="BH737" i="3" s="1"/>
  <c r="BG744" i="3"/>
  <c r="BH744" i="3" s="1"/>
  <c r="BG748" i="3"/>
  <c r="BH748" i="3" s="1"/>
  <c r="BG719" i="3"/>
  <c r="BH719" i="3" s="1"/>
  <c r="BG746" i="3"/>
  <c r="BH746" i="3" s="1"/>
  <c r="BG723" i="3"/>
  <c r="BH723" i="3" s="1"/>
  <c r="BG750" i="3"/>
  <c r="BH750" i="3" s="1"/>
  <c r="BG728" i="3"/>
  <c r="BH728" i="3" s="1"/>
  <c r="BG747" i="3"/>
  <c r="BH747" i="3" s="1"/>
  <c r="BG752" i="3"/>
  <c r="BH752" i="3" s="1"/>
  <c r="BG724" i="3"/>
  <c r="BH724" i="3" s="1"/>
  <c r="BG734" i="3"/>
  <c r="BH734" i="3" s="1"/>
  <c r="BG727" i="3"/>
  <c r="BH727" i="3" s="1"/>
  <c r="BG740" i="3"/>
  <c r="BH740" i="3" s="1"/>
  <c r="BG729" i="3"/>
  <c r="BH729" i="3" s="1"/>
  <c r="BG731" i="3"/>
  <c r="BH731" i="3" s="1"/>
  <c r="BG751" i="3"/>
  <c r="BH751" i="3" s="1"/>
  <c r="BG725" i="3"/>
  <c r="BH725" i="3" s="1"/>
  <c r="BG742" i="3"/>
  <c r="BH742" i="3" s="1"/>
  <c r="BG735" i="3"/>
  <c r="BH735" i="3" s="1"/>
  <c r="BG720" i="3"/>
  <c r="BH720" i="3" s="1"/>
  <c r="BG745" i="3"/>
  <c r="BH745" i="3" s="1"/>
  <c r="BG739" i="3"/>
  <c r="BH739" i="3" s="1"/>
  <c r="CZ753" i="3"/>
  <c r="J23" i="23"/>
  <c r="V29" i="23"/>
  <c r="J22" i="23"/>
  <c r="J20" i="23"/>
  <c r="J24" i="23"/>
  <c r="J19" i="23"/>
  <c r="P29" i="23"/>
  <c r="J21" i="23"/>
  <c r="AV122" i="20"/>
  <c r="AW121" i="20" s="1"/>
  <c r="AD136" i="20" s="1"/>
  <c r="C757" i="3"/>
  <c r="AX690" i="20"/>
  <c r="AC884" i="3"/>
  <c r="AY1003" i="3"/>
  <c r="E105" i="20"/>
  <c r="E104" i="20"/>
  <c r="AH29" i="23"/>
  <c r="T25" i="21"/>
  <c r="T18" i="21" s="1"/>
  <c r="G51" i="21" s="1"/>
  <c r="R25" i="21" a="1"/>
  <c r="R25" i="21" s="1"/>
  <c r="E26" i="21"/>
  <c r="U25" i="21"/>
  <c r="G42" i="21" s="1" a="1"/>
  <c r="G42" i="21" s="1"/>
  <c r="G43" i="21" s="1"/>
  <c r="M18" i="21"/>
  <c r="AN29" i="23"/>
  <c r="BT751" i="3"/>
  <c r="BU751" i="3" s="1"/>
  <c r="BT727" i="3"/>
  <c r="BU727" i="3" s="1"/>
  <c r="BT736" i="3"/>
  <c r="BU736" i="3" s="1"/>
  <c r="BT745" i="3"/>
  <c r="BU745" i="3" s="1"/>
  <c r="BT722" i="3"/>
  <c r="BT724" i="3"/>
  <c r="BT733" i="3"/>
  <c r="BU733" i="3" s="1"/>
  <c r="BT743" i="3"/>
  <c r="BU743" i="3" s="1"/>
  <c r="BT739" i="3"/>
  <c r="BU739" i="3" s="1"/>
  <c r="BT740" i="3"/>
  <c r="BU740" i="3" s="1"/>
  <c r="BT728" i="3"/>
  <c r="BU728" i="3" s="1"/>
  <c r="BT750" i="3"/>
  <c r="BU750" i="3" s="1"/>
  <c r="BT735" i="3"/>
  <c r="BU735" i="3" s="1"/>
  <c r="BT744" i="3"/>
  <c r="BU744" i="3" s="1"/>
  <c r="BT731" i="3"/>
  <c r="BU731" i="3" s="1"/>
  <c r="BT730" i="3"/>
  <c r="BU730" i="3" s="1"/>
  <c r="BT732" i="3"/>
  <c r="BU732" i="3" s="1"/>
  <c r="BT741" i="3"/>
  <c r="BU741" i="3" s="1"/>
  <c r="BT718" i="3"/>
  <c r="BT738" i="3"/>
  <c r="BU738" i="3" s="1"/>
  <c r="BT749" i="3"/>
  <c r="BU749" i="3" s="1"/>
  <c r="BT737" i="3"/>
  <c r="BU737" i="3" s="1"/>
  <c r="BT725" i="3"/>
  <c r="BU725" i="3" s="1"/>
  <c r="BT747" i="3"/>
  <c r="BU747" i="3" s="1"/>
  <c r="BT752" i="3"/>
  <c r="BU752" i="3" s="1"/>
  <c r="BT721" i="3"/>
  <c r="BT748" i="3"/>
  <c r="BU748" i="3" s="1"/>
  <c r="BT746" i="3"/>
  <c r="BU746" i="3" s="1"/>
  <c r="BT726" i="3"/>
  <c r="BU726" i="3" s="1"/>
  <c r="BT719" i="3"/>
  <c r="BT720" i="3"/>
  <c r="BT729" i="3"/>
  <c r="BU729" i="3" s="1"/>
  <c r="BT734" i="3"/>
  <c r="BU734" i="3" s="1"/>
  <c r="BT723" i="3"/>
  <c r="BT742" i="3"/>
  <c r="BU742" i="3" s="1"/>
  <c r="AB29" i="23"/>
  <c r="AW116" i="20" l="1"/>
  <c r="E136" i="20" s="1"/>
  <c r="AW118" i="20"/>
  <c r="AW120" i="20"/>
  <c r="Y136" i="20" s="1"/>
  <c r="AW117" i="20"/>
  <c r="O25" i="21"/>
  <c r="P25" i="21" s="1" a="1"/>
  <c r="P25" i="21" s="1"/>
  <c r="S25" i="21" s="1"/>
  <c r="AW119" i="20"/>
  <c r="T136" i="20" s="1"/>
  <c r="J29" i="23"/>
  <c r="AT19" i="23" s="1"/>
  <c r="BT753" i="3"/>
  <c r="AY695" i="20"/>
  <c r="AX695" i="20"/>
  <c r="AO695" i="20" s="1"/>
  <c r="I1048" i="3"/>
  <c r="AY1005" i="3" s="1"/>
  <c r="I1052" i="3"/>
  <c r="AY1006" i="3" s="1"/>
  <c r="O20" i="21"/>
  <c r="P20" i="21" s="1" a="1"/>
  <c r="P20" i="21" s="1"/>
  <c r="S20" i="21" s="1"/>
  <c r="O21" i="21"/>
  <c r="P21" i="21" s="1" a="1"/>
  <c r="P21" i="21" s="1"/>
  <c r="S21" i="21" s="1"/>
  <c r="O26" i="21"/>
  <c r="P26" i="21" s="1" a="1"/>
  <c r="P26" i="21" s="1"/>
  <c r="S26" i="21" s="1"/>
  <c r="O24" i="21"/>
  <c r="P24" i="21" s="1" a="1"/>
  <c r="P24" i="21" s="1"/>
  <c r="S24" i="21" s="1"/>
  <c r="O22" i="21"/>
  <c r="P22" i="21" s="1" a="1"/>
  <c r="P22" i="21" s="1"/>
  <c r="S22" i="21" s="1"/>
  <c r="O23" i="21"/>
  <c r="P23" i="21" s="1" a="1"/>
  <c r="P23" i="21" s="1"/>
  <c r="S23" i="21" s="1"/>
  <c r="E29" i="21"/>
  <c r="EH662" i="3"/>
  <c r="EH643" i="3"/>
  <c r="EH645" i="3"/>
  <c r="EH648" i="3"/>
  <c r="EH644" i="3"/>
  <c r="EH649" i="3"/>
  <c r="EH657" i="3"/>
  <c r="EH659" i="3"/>
  <c r="EH650" i="3"/>
  <c r="EH646" i="3"/>
  <c r="EH669" i="3"/>
  <c r="EH668" i="3"/>
  <c r="EH652" i="3"/>
  <c r="EH660" i="3"/>
  <c r="EH654" i="3"/>
  <c r="EH636" i="3"/>
  <c r="EH637" i="3"/>
  <c r="EH663" i="3"/>
  <c r="DD755" i="3"/>
  <c r="DU755" i="3" s="1"/>
  <c r="EH653" i="3"/>
  <c r="EH661" i="3"/>
  <c r="EH647" i="3"/>
  <c r="EH665" i="3"/>
  <c r="CZ802" i="3"/>
  <c r="AB988" i="3" s="1"/>
  <c r="EH655" i="3"/>
  <c r="DO754" i="3"/>
  <c r="EH664" i="3"/>
  <c r="EH658" i="3"/>
  <c r="EH651" i="3"/>
  <c r="EH642" i="3"/>
  <c r="EH656" i="3"/>
  <c r="EH666" i="3"/>
  <c r="EH667" i="3"/>
  <c r="EH635" i="3"/>
  <c r="EH638" i="3"/>
  <c r="BH718" i="3"/>
  <c r="BH753" i="3" s="1"/>
  <c r="AC753" i="3" s="1"/>
  <c r="BG753" i="3"/>
  <c r="AT22" i="23" l="1"/>
  <c r="AT23" i="23"/>
  <c r="AW122" i="20"/>
  <c r="AT20" i="23"/>
  <c r="AT21" i="23"/>
  <c r="G52" i="21"/>
  <c r="G54" i="21" s="1"/>
  <c r="G56" i="21" s="1"/>
  <c r="E12" i="21" s="1"/>
  <c r="F27" i="21"/>
  <c r="G61" i="21"/>
  <c r="G63" i="21" s="1"/>
  <c r="G65" i="21" s="1"/>
  <c r="E13" i="21" s="1"/>
  <c r="F28" i="21"/>
  <c r="G28" i="21" s="1"/>
  <c r="G45" i="21"/>
  <c r="G47" i="21" s="1"/>
  <c r="E10" i="21" s="1"/>
  <c r="BE42" i="3"/>
  <c r="E93" i="20"/>
  <c r="E94" i="20" s="1"/>
  <c r="E95" i="20" s="1"/>
  <c r="E103" i="20"/>
  <c r="E106" i="20" s="1"/>
  <c r="AP106" i="20" s="1"/>
  <c r="AK109" i="20" s="1"/>
  <c r="T806" i="20" s="1"/>
  <c r="AF806" i="20" s="1"/>
  <c r="BE73" i="3" s="1"/>
  <c r="AJ988" i="3"/>
  <c r="AJ992" i="3" s="1"/>
  <c r="AJ1049" i="3" s="1"/>
  <c r="AP553" i="20" s="1"/>
  <c r="AB991" i="3"/>
  <c r="AP705" i="20"/>
  <c r="AP706" i="20"/>
  <c r="O756" i="3"/>
  <c r="DU802" i="3"/>
  <c r="U373" i="20" s="1"/>
  <c r="P421" i="3"/>
  <c r="AT24" i="23"/>
  <c r="AT29" i="23"/>
  <c r="AY41" i="23"/>
  <c r="AY43" i="23"/>
  <c r="AY37" i="23"/>
  <c r="AY39" i="23"/>
  <c r="AT26" i="23"/>
  <c r="AT27" i="23"/>
  <c r="AY44" i="23"/>
  <c r="AY46" i="23"/>
  <c r="AY40" i="23"/>
  <c r="AT25" i="23"/>
  <c r="AY47" i="23"/>
  <c r="AY38" i="23"/>
  <c r="AT28" i="23"/>
  <c r="AY45" i="23"/>
  <c r="AY42" i="23"/>
  <c r="AY36" i="23"/>
  <c r="AJ1045" i="3" l="1"/>
  <c r="AP552" i="20" s="1"/>
  <c r="AJ1007" i="3"/>
  <c r="AP550" i="20"/>
  <c r="AJ1029" i="3"/>
  <c r="AJ1036" i="3"/>
  <c r="I15" i="21" s="1"/>
  <c r="G27" i="21"/>
  <c r="F26" i="21"/>
  <c r="E11" i="21"/>
  <c r="AJ1053" i="3" l="1"/>
  <c r="T24" i="15" s="1"/>
  <c r="AP554" i="20"/>
  <c r="G26" i="21"/>
  <c r="F29" i="21"/>
  <c r="G29" i="21"/>
  <c r="AP557" i="20" l="1"/>
  <c r="AP556" i="20" s="1"/>
  <c r="AP559" i="20" s="1"/>
  <c r="AF552" i="20" s="1"/>
  <c r="G96" i="21"/>
  <c r="G79" i="21"/>
  <c r="G80" i="21" s="1"/>
  <c r="E15" i="21" s="1"/>
  <c r="G88" i="21"/>
  <c r="G90" i="21" s="1"/>
  <c r="E16" i="21" s="1"/>
  <c r="G111" i="21"/>
  <c r="G31" i="21"/>
  <c r="G33" i="21" s="1"/>
  <c r="E9" i="21" s="1"/>
  <c r="G101" i="21" l="1"/>
  <c r="G113" i="21"/>
  <c r="G97" i="21"/>
  <c r="G115" i="21" l="1"/>
  <c r="E17" i="21" s="1"/>
  <c r="E14" i="21" s="1"/>
  <c r="E18" i="21" s="1"/>
  <c r="H3" i="21" s="1"/>
  <c r="D4" i="8" l="1"/>
  <c r="AQ112" i="20"/>
  <c r="X718" i="3"/>
  <c r="AH718" i="3" s="1"/>
  <c r="BU718" i="3" s="1"/>
  <c r="FE718" i="3"/>
  <c r="X722" i="3"/>
  <c r="AH722" i="3" s="1"/>
  <c r="BU722" i="3" s="1"/>
  <c r="AQ116" i="20"/>
  <c r="D8" i="8"/>
  <c r="FJ722" i="3"/>
  <c r="EH639" i="3" s="1"/>
  <c r="D6" i="8"/>
  <c r="AQ114" i="20"/>
  <c r="X720" i="3"/>
  <c r="AH720" i="3" s="1"/>
  <c r="BU720" i="3" s="1"/>
  <c r="FE720" i="3"/>
  <c r="EC637" i="3" s="1"/>
  <c r="AC773" i="3"/>
  <c r="AC777" i="3" s="1"/>
  <c r="E32" i="7"/>
  <c r="G32" i="7" s="1"/>
  <c r="I32" i="7" s="1"/>
  <c r="K32" i="7" s="1"/>
  <c r="M32" i="7" s="1"/>
  <c r="O32" i="7" s="1"/>
  <c r="Q32" i="7" s="1"/>
  <c r="S32" i="7" s="1"/>
  <c r="U32" i="7" s="1"/>
  <c r="W32" i="7" s="1"/>
  <c r="Y32" i="7" s="1"/>
  <c r="AA32" i="7" s="1"/>
  <c r="AC32" i="7" s="1"/>
  <c r="AE32" i="7" s="1"/>
  <c r="AG32" i="7" s="1"/>
  <c r="EC635" i="3" l="1"/>
  <c r="D9" i="8"/>
  <c r="X723" i="3"/>
  <c r="AH723" i="3" s="1"/>
  <c r="BU723" i="3" s="1"/>
  <c r="AQ117" i="20"/>
  <c r="FJ723" i="3"/>
  <c r="EH640" i="3" s="1"/>
  <c r="E19" i="7"/>
  <c r="G19" i="7" s="1"/>
  <c r="I19" i="7" s="1"/>
  <c r="K19" i="7" s="1"/>
  <c r="M19" i="7" s="1"/>
  <c r="O19" i="7" s="1"/>
  <c r="Q19" i="7" s="1"/>
  <c r="S19" i="7" s="1"/>
  <c r="U19" i="7" s="1"/>
  <c r="W19" i="7" s="1"/>
  <c r="Y19" i="7" s="1"/>
  <c r="AA19" i="7" s="1"/>
  <c r="AC19" i="7" s="1"/>
  <c r="AE19" i="7" s="1"/>
  <c r="AG19" i="7" s="1"/>
  <c r="E33" i="7"/>
  <c r="G33" i="7" s="1"/>
  <c r="I33" i="7" s="1"/>
  <c r="K33" i="7" s="1"/>
  <c r="M33" i="7" s="1"/>
  <c r="O33" i="7" s="1"/>
  <c r="Q33" i="7" s="1"/>
  <c r="S33" i="7" s="1"/>
  <c r="U33" i="7" s="1"/>
  <c r="W33" i="7" s="1"/>
  <c r="Y33" i="7" s="1"/>
  <c r="AA33" i="7" s="1"/>
  <c r="AC33" i="7" s="1"/>
  <c r="AE33" i="7" s="1"/>
  <c r="AG33" i="7" s="1"/>
  <c r="E28" i="7"/>
  <c r="X721" i="3" l="1"/>
  <c r="AH721" i="3" s="1"/>
  <c r="BU721" i="3" s="1"/>
  <c r="AQ115" i="20"/>
  <c r="D7" i="8"/>
  <c r="I7" i="8" s="1"/>
  <c r="FE721" i="3"/>
  <c r="EC638" i="3" s="1"/>
  <c r="W862" i="3"/>
  <c r="E18" i="7" s="1"/>
  <c r="G18" i="7" s="1"/>
  <c r="I18" i="7" s="1"/>
  <c r="K18" i="7" s="1"/>
  <c r="M18" i="7" s="1"/>
  <c r="O18" i="7" s="1"/>
  <c r="Q18" i="7" s="1"/>
  <c r="S18" i="7" s="1"/>
  <c r="U18" i="7" s="1"/>
  <c r="W18" i="7" s="1"/>
  <c r="Y18" i="7" s="1"/>
  <c r="AA18" i="7" s="1"/>
  <c r="AC18" i="7" s="1"/>
  <c r="AE18" i="7" s="1"/>
  <c r="AG18" i="7" s="1"/>
  <c r="AQ113" i="20"/>
  <c r="X719" i="3"/>
  <c r="AH719" i="3" s="1"/>
  <c r="BU719" i="3" s="1"/>
  <c r="D5" i="8"/>
  <c r="FE719" i="3"/>
  <c r="X724" i="3"/>
  <c r="AH724" i="3" s="1"/>
  <c r="BU724" i="3" s="1"/>
  <c r="D10" i="8"/>
  <c r="AQ118" i="20"/>
  <c r="FJ724" i="3"/>
  <c r="O753" i="3"/>
  <c r="W872" i="3"/>
  <c r="E20" i="7" s="1"/>
  <c r="G20" i="7" s="1"/>
  <c r="I20" i="7" s="1"/>
  <c r="K20" i="7" s="1"/>
  <c r="M20" i="7" s="1"/>
  <c r="O20" i="7" s="1"/>
  <c r="Q20" i="7" s="1"/>
  <c r="S20" i="7" s="1"/>
  <c r="U20" i="7" s="1"/>
  <c r="W20" i="7" s="1"/>
  <c r="Y20" i="7" s="1"/>
  <c r="AA20" i="7" s="1"/>
  <c r="AC20" i="7" s="1"/>
  <c r="AE20" i="7" s="1"/>
  <c r="AG20" i="7" s="1"/>
  <c r="W855" i="3"/>
  <c r="E17" i="7" s="1"/>
  <c r="G17" i="7" s="1"/>
  <c r="I17" i="7" s="1"/>
  <c r="K17" i="7" s="1"/>
  <c r="M17" i="7" s="1"/>
  <c r="O17" i="7" s="1"/>
  <c r="Q17" i="7" s="1"/>
  <c r="S17" i="7" s="1"/>
  <c r="U17" i="7" s="1"/>
  <c r="W17" i="7" s="1"/>
  <c r="Y17" i="7" s="1"/>
  <c r="AA17" i="7" s="1"/>
  <c r="AC17" i="7" s="1"/>
  <c r="AE17" i="7" s="1"/>
  <c r="AG17" i="7" s="1"/>
  <c r="AE28" i="7"/>
  <c r="AG28" i="7"/>
  <c r="I28" i="7"/>
  <c r="S28" i="7"/>
  <c r="G28" i="7"/>
  <c r="Y28" i="7"/>
  <c r="O28" i="7"/>
  <c r="AC28" i="7"/>
  <c r="Q28" i="7"/>
  <c r="W28" i="7"/>
  <c r="K28" i="7"/>
  <c r="U28" i="7"/>
  <c r="AA28" i="7"/>
  <c r="M28" i="7"/>
  <c r="BU753" i="3" l="1"/>
  <c r="AH753" i="3" s="1"/>
  <c r="BE43" i="3" s="1"/>
  <c r="EC636" i="3"/>
  <c r="EC670" i="3" s="1"/>
  <c r="J130" i="20" s="1"/>
  <c r="J133" i="20" s="1"/>
  <c r="J136" i="20" s="1"/>
  <c r="FE753" i="3"/>
  <c r="Y801" i="3"/>
  <c r="E4" i="7" s="1"/>
  <c r="Y800" i="3"/>
  <c r="D40" i="8"/>
  <c r="EH641" i="3"/>
  <c r="EH670" i="3" s="1"/>
  <c r="O130" i="20" s="1"/>
  <c r="O133" i="20" s="1"/>
  <c r="O136" i="20" s="1"/>
  <c r="FJ753" i="3"/>
  <c r="Z817" i="3"/>
  <c r="E138" i="20" l="1"/>
  <c r="E139" i="20" s="1"/>
  <c r="AK143" i="20" s="1"/>
  <c r="T807" i="20" s="1"/>
  <c r="AF807" i="20" s="1"/>
  <c r="BE74" i="3" s="1"/>
  <c r="E5" i="7"/>
  <c r="G5" i="7" s="1"/>
  <c r="I5" i="7" s="1"/>
  <c r="K5" i="7" s="1"/>
  <c r="M5" i="7" s="1"/>
  <c r="O5" i="7" s="1"/>
  <c r="Q5" i="7" s="1"/>
  <c r="S5" i="7" s="1"/>
  <c r="U5" i="7" s="1"/>
  <c r="W5" i="7" s="1"/>
  <c r="Y5" i="7" s="1"/>
  <c r="AA5" i="7" s="1"/>
  <c r="AC5" i="7" s="1"/>
  <c r="AE5" i="7" s="1"/>
  <c r="AG5" i="7" s="1"/>
  <c r="G4" i="7"/>
  <c r="I4" i="7" s="1"/>
  <c r="K4" i="7" s="1"/>
  <c r="M4" i="7" s="1"/>
  <c r="O4" i="7" s="1"/>
  <c r="Q4" i="7" s="1"/>
  <c r="S4" i="7" s="1"/>
  <c r="U4" i="7" s="1"/>
  <c r="W4" i="7" s="1"/>
  <c r="Y4" i="7" s="1"/>
  <c r="AA4" i="7" s="1"/>
  <c r="AC4" i="7" s="1"/>
  <c r="AE4" i="7" s="1"/>
  <c r="AG4" i="7" s="1"/>
  <c r="E8" i="7"/>
  <c r="Z818" i="3"/>
  <c r="G8" i="7" l="1"/>
  <c r="E9" i="7"/>
  <c r="E11" i="7" s="1"/>
  <c r="G9" i="7" l="1"/>
  <c r="G11" i="7" s="1"/>
  <c r="I8" i="7"/>
  <c r="I9" i="7" l="1"/>
  <c r="I11" i="7" s="1"/>
  <c r="K8" i="7"/>
  <c r="M8" i="7" l="1"/>
  <c r="K9" i="7"/>
  <c r="K11" i="7" s="1"/>
  <c r="O8" i="7" l="1"/>
  <c r="M9" i="7"/>
  <c r="M11" i="7"/>
  <c r="Q8" i="7" l="1"/>
  <c r="O9" i="7"/>
  <c r="O11" i="7" s="1"/>
  <c r="Q9" i="7" l="1"/>
  <c r="Q11" i="7" s="1"/>
  <c r="S8" i="7"/>
  <c r="U8" i="7" l="1"/>
  <c r="S9" i="7"/>
  <c r="S11" i="7" s="1"/>
  <c r="U9" i="7" l="1"/>
  <c r="U11" i="7" s="1"/>
  <c r="W8" i="7"/>
  <c r="W9" i="7" l="1"/>
  <c r="W11" i="7" s="1"/>
  <c r="Y8" i="7"/>
  <c r="Y9" i="7" l="1"/>
  <c r="Y11" i="7" s="1"/>
  <c r="AA8" i="7"/>
  <c r="AA9" i="7" l="1"/>
  <c r="AA11" i="7" s="1"/>
  <c r="AC8" i="7"/>
  <c r="AC9" i="7" l="1"/>
  <c r="AC11" i="7" s="1"/>
  <c r="AE8" i="7"/>
  <c r="AE9" i="7" l="1"/>
  <c r="AE11" i="7" s="1"/>
  <c r="AG8" i="7"/>
  <c r="AG9" i="7" l="1"/>
  <c r="AG11" i="7" s="1"/>
  <c r="E16" i="7" l="1"/>
  <c r="AC883" i="3"/>
  <c r="AC885" i="3" s="1"/>
  <c r="G16" i="7" l="1"/>
  <c r="E22" i="7"/>
  <c r="E35" i="7" s="1"/>
  <c r="E37" i="7" s="1"/>
  <c r="E40" i="7"/>
  <c r="I16" i="7" l="1"/>
  <c r="G22" i="7"/>
  <c r="G35" i="7" s="1"/>
  <c r="G37" i="7" s="1"/>
  <c r="AG40" i="7"/>
  <c r="AG43" i="7" s="1"/>
  <c r="O40" i="7"/>
  <c r="O43" i="7" s="1"/>
  <c r="AA40" i="7"/>
  <c r="AA43" i="7" s="1"/>
  <c r="S40" i="7"/>
  <c r="S43" i="7" s="1"/>
  <c r="K40" i="7"/>
  <c r="K43" i="7" s="1"/>
  <c r="E43" i="7"/>
  <c r="AE40" i="7"/>
  <c r="AE43" i="7" s="1"/>
  <c r="AC40" i="7"/>
  <c r="AC43" i="7" s="1"/>
  <c r="Y40" i="7"/>
  <c r="Y43" i="7" s="1"/>
  <c r="W40" i="7"/>
  <c r="W43" i="7" s="1"/>
  <c r="U40" i="7"/>
  <c r="U43" i="7" s="1"/>
  <c r="G40" i="7"/>
  <c r="G43" i="7" s="1"/>
  <c r="I40" i="7"/>
  <c r="I43" i="7" s="1"/>
  <c r="Q40" i="7"/>
  <c r="Q43" i="7" s="1"/>
  <c r="M40" i="7"/>
  <c r="M43" i="7" s="1"/>
  <c r="K16" i="7" l="1"/>
  <c r="I22" i="7"/>
  <c r="I35" i="7" s="1"/>
  <c r="I37" i="7" s="1"/>
  <c r="I45" i="7" s="1"/>
  <c r="G49" i="7"/>
  <c r="G45" i="7"/>
  <c r="E49" i="7"/>
  <c r="E45" i="7"/>
  <c r="I49" i="7" l="1"/>
  <c r="M16" i="7"/>
  <c r="K22" i="7"/>
  <c r="K35" i="7" s="1"/>
  <c r="K37" i="7" s="1"/>
  <c r="E48" i="7"/>
  <c r="E47" i="7"/>
  <c r="E60" i="7"/>
  <c r="G60" i="7"/>
  <c r="G48" i="7"/>
  <c r="G47" i="7"/>
  <c r="I48" i="7"/>
  <c r="I60" i="7"/>
  <c r="I47" i="7"/>
  <c r="K45" i="7" l="1"/>
  <c r="K49" i="7"/>
  <c r="O16" i="7"/>
  <c r="M22" i="7"/>
  <c r="M35" i="7" s="1"/>
  <c r="M37" i="7" s="1"/>
  <c r="E62" i="7"/>
  <c r="E72" i="7" s="1"/>
  <c r="I67" i="7"/>
  <c r="I62" i="7"/>
  <c r="I66" i="7"/>
  <c r="N10" i="23"/>
  <c r="F108" i="4"/>
  <c r="F30" i="4" s="1"/>
  <c r="F38" i="4" s="1"/>
  <c r="F63" i="4" s="1"/>
  <c r="F97" i="4" s="1"/>
  <c r="F105" i="4" s="1"/>
  <c r="G62" i="7"/>
  <c r="G67" i="7"/>
  <c r="G66" i="7"/>
  <c r="M45" i="7" l="1"/>
  <c r="M49" i="7"/>
  <c r="Q16" i="7"/>
  <c r="O22" i="7"/>
  <c r="O35" i="7" s="1"/>
  <c r="O37" i="7" s="1"/>
  <c r="K60" i="7"/>
  <c r="K48" i="7"/>
  <c r="K47" i="7"/>
  <c r="G70" i="7"/>
  <c r="G72" i="7" s="1"/>
  <c r="I70" i="7"/>
  <c r="I72" i="7" s="1"/>
  <c r="K67" i="7" l="1"/>
  <c r="K66" i="7"/>
  <c r="K62" i="7"/>
  <c r="O45" i="7"/>
  <c r="O49" i="7"/>
  <c r="S16" i="7"/>
  <c r="Q22" i="7"/>
  <c r="Q35" i="7" s="1"/>
  <c r="Q37" i="7" s="1"/>
  <c r="M60" i="7"/>
  <c r="M48" i="7"/>
  <c r="M47" i="7"/>
  <c r="K70" i="7" l="1"/>
  <c r="K72" i="7" s="1"/>
  <c r="O48" i="7"/>
  <c r="O47" i="7"/>
  <c r="O60" i="7"/>
  <c r="U16" i="7"/>
  <c r="S22" i="7"/>
  <c r="S35" i="7" s="1"/>
  <c r="S37" i="7" s="1"/>
  <c r="M62" i="7"/>
  <c r="M66" i="7"/>
  <c r="M67" i="7"/>
  <c r="Q45" i="7"/>
  <c r="Q49" i="7"/>
  <c r="S49" i="7" l="1"/>
  <c r="S45" i="7"/>
  <c r="W16" i="7"/>
  <c r="U22" i="7"/>
  <c r="U35" i="7" s="1"/>
  <c r="U37" i="7" s="1"/>
  <c r="O62" i="7"/>
  <c r="O67" i="7"/>
  <c r="O66" i="7"/>
  <c r="Q60" i="7"/>
  <c r="Q48" i="7"/>
  <c r="Q47" i="7"/>
  <c r="M70" i="7"/>
  <c r="M72" i="7" s="1"/>
  <c r="O70" i="7" l="1"/>
  <c r="O72" i="7" s="1"/>
  <c r="U45" i="7"/>
  <c r="U49" i="7"/>
  <c r="Q67" i="7"/>
  <c r="Q62" i="7"/>
  <c r="Q66" i="7"/>
  <c r="Y16" i="7"/>
  <c r="W22" i="7"/>
  <c r="W35" i="7" s="1"/>
  <c r="W37" i="7" s="1"/>
  <c r="S48" i="7"/>
  <c r="S47" i="7"/>
  <c r="S60" i="7"/>
  <c r="Q70" i="7" l="1"/>
  <c r="Q72" i="7" s="1"/>
  <c r="S67" i="7"/>
  <c r="S66" i="7"/>
  <c r="S62" i="7"/>
  <c r="AA16" i="7"/>
  <c r="Y22" i="7"/>
  <c r="Y35" i="7" s="1"/>
  <c r="Y37" i="7" s="1"/>
  <c r="W45" i="7"/>
  <c r="W49" i="7"/>
  <c r="U60" i="7"/>
  <c r="U47" i="7"/>
  <c r="U48" i="7"/>
  <c r="S70" i="7" l="1"/>
  <c r="Y49" i="7"/>
  <c r="Y45" i="7"/>
  <c r="AC16" i="7"/>
  <c r="AA22" i="7"/>
  <c r="AA35" i="7" s="1"/>
  <c r="AA37" i="7" s="1"/>
  <c r="W60" i="7"/>
  <c r="W47" i="7"/>
  <c r="W48" i="7"/>
  <c r="U66" i="7"/>
  <c r="U67" i="7"/>
  <c r="S72" i="7"/>
  <c r="U70" i="7" l="1"/>
  <c r="W67" i="7"/>
  <c r="W66" i="7"/>
  <c r="AA45" i="7"/>
  <c r="AA49" i="7"/>
  <c r="AE16" i="7"/>
  <c r="AC22" i="7"/>
  <c r="AC35" i="7" s="1"/>
  <c r="AC37" i="7" s="1"/>
  <c r="Y60" i="7"/>
  <c r="Y47" i="7"/>
  <c r="Y48" i="7"/>
  <c r="W70" i="7" l="1"/>
  <c r="W72" i="7" s="1"/>
  <c r="AG16" i="7"/>
  <c r="AG22" i="7" s="1"/>
  <c r="AG35" i="7" s="1"/>
  <c r="AG37" i="7" s="1"/>
  <c r="AE22" i="7"/>
  <c r="AE35" i="7" s="1"/>
  <c r="AE37" i="7" s="1"/>
  <c r="AA47" i="7"/>
  <c r="AA48" i="7"/>
  <c r="AA60" i="7"/>
  <c r="AC45" i="7"/>
  <c r="AC49" i="7"/>
  <c r="Y66" i="7"/>
  <c r="Y67" i="7"/>
  <c r="AA67" i="7" l="1"/>
  <c r="AA66" i="7"/>
  <c r="AA70" i="7" s="1"/>
  <c r="AA72" i="7" s="1"/>
  <c r="AC47" i="7"/>
  <c r="AC60" i="7"/>
  <c r="AC48" i="7"/>
  <c r="Y70" i="7"/>
  <c r="Y72" i="7" s="1"/>
  <c r="AE45" i="7"/>
  <c r="AE49" i="7"/>
  <c r="AG45" i="7"/>
  <c r="AG49" i="7"/>
  <c r="AC67" i="7" l="1"/>
  <c r="AC66" i="7"/>
  <c r="AG60" i="7"/>
  <c r="AG47" i="7"/>
  <c r="AG48" i="7"/>
  <c r="AE60" i="7"/>
  <c r="AE48" i="7"/>
  <c r="AE47" i="7"/>
  <c r="AE67" i="7" l="1"/>
  <c r="AE66" i="7"/>
  <c r="AG67" i="7"/>
  <c r="AG66" i="7"/>
  <c r="AC70" i="7"/>
  <c r="AC72" i="7" s="1"/>
  <c r="AE70" i="7" l="1"/>
  <c r="AE72" i="7" s="1"/>
  <c r="AG70" i="7"/>
  <c r="AG72" i="7" s="1"/>
  <c r="E69" i="13" l="1"/>
  <c r="F69" i="13" s="1"/>
  <c r="E83" i="4" l="1"/>
  <c r="C84" i="11"/>
  <c r="B83" i="4"/>
  <c r="B84" i="11"/>
  <c r="B83" i="13"/>
  <c r="C83" i="13" s="1"/>
  <c r="B93" i="13"/>
  <c r="C93" i="13" s="1"/>
  <c r="C94" i="11"/>
  <c r="E93" i="4"/>
  <c r="R93" i="4" s="1"/>
  <c r="B94" i="11"/>
  <c r="B93" i="4"/>
  <c r="E29" i="13"/>
  <c r="F29" i="13" s="1"/>
  <c r="B52" i="4"/>
  <c r="B52" i="13"/>
  <c r="C52" i="13" s="1"/>
  <c r="B53" i="11"/>
  <c r="C53" i="11"/>
  <c r="E52" i="4"/>
  <c r="R52" i="4" s="1"/>
  <c r="B47" i="4"/>
  <c r="E47" i="4"/>
  <c r="R47" i="4" s="1"/>
  <c r="B48" i="11"/>
  <c r="B47" i="13"/>
  <c r="C47" i="13" s="1"/>
  <c r="C48" i="11"/>
  <c r="B50" i="13"/>
  <c r="C50" i="13" s="1"/>
  <c r="B51" i="11"/>
  <c r="B50" i="4"/>
  <c r="E50" i="4"/>
  <c r="R50" i="4" s="1"/>
  <c r="C51" i="11"/>
  <c r="C52" i="11"/>
  <c r="B51" i="13"/>
  <c r="C51" i="13" s="1"/>
  <c r="B52" i="11"/>
  <c r="E51" i="4"/>
  <c r="R51" i="4" s="1"/>
  <c r="B51" i="4"/>
  <c r="C59" i="11"/>
  <c r="E58" i="4"/>
  <c r="R58" i="4" s="1"/>
  <c r="B58" i="13"/>
  <c r="C58" i="13" s="1"/>
  <c r="B59" i="11"/>
  <c r="B58" i="4"/>
  <c r="E48" i="4"/>
  <c r="R48" i="4" s="1"/>
  <c r="B49" i="11"/>
  <c r="C49" i="11"/>
  <c r="B48" i="4"/>
  <c r="B48" i="13"/>
  <c r="C48" i="13" s="1"/>
  <c r="E48" i="13"/>
  <c r="F48" i="13" s="1"/>
  <c r="E51" i="13"/>
  <c r="F51" i="13" s="1"/>
  <c r="D49" i="11" l="1"/>
  <c r="D48" i="11"/>
  <c r="D53" i="11"/>
  <c r="D52" i="11"/>
  <c r="E65" i="13"/>
  <c r="F65" i="13" s="1"/>
  <c r="F70" i="13" s="1"/>
  <c r="S70" i="4"/>
  <c r="E70" i="13" s="1"/>
  <c r="D59" i="11"/>
  <c r="D51" i="11"/>
  <c r="B69" i="13"/>
  <c r="C69" i="13" s="1"/>
  <c r="E69" i="4"/>
  <c r="R69" i="4" s="1"/>
  <c r="B69" i="4"/>
  <c r="B70" i="11"/>
  <c r="C70" i="11"/>
  <c r="E29" i="4"/>
  <c r="C30" i="11"/>
  <c r="B29" i="13"/>
  <c r="C29" i="13" s="1"/>
  <c r="B30" i="11"/>
  <c r="B29" i="4"/>
  <c r="B91" i="4"/>
  <c r="E91" i="4"/>
  <c r="R91" i="4" s="1"/>
  <c r="B92" i="11"/>
  <c r="B91" i="13"/>
  <c r="C91" i="13" s="1"/>
  <c r="C92" i="11"/>
  <c r="D94" i="11"/>
  <c r="D84" i="11"/>
  <c r="C95" i="11"/>
  <c r="B94" i="4"/>
  <c r="B94" i="13"/>
  <c r="C94" i="13" s="1"/>
  <c r="B95" i="11"/>
  <c r="E94" i="4"/>
  <c r="R94" i="4" s="1"/>
  <c r="C66" i="11"/>
  <c r="B65" i="13"/>
  <c r="C65" i="13" s="1"/>
  <c r="B65" i="4"/>
  <c r="C70" i="4"/>
  <c r="B66" i="11"/>
  <c r="E65" i="4"/>
  <c r="Q393" i="3"/>
  <c r="E88" i="4"/>
  <c r="R88" i="4" s="1"/>
  <c r="B88" i="4"/>
  <c r="B88" i="13"/>
  <c r="C88" i="13" s="1"/>
  <c r="B89" i="11"/>
  <c r="C89" i="11"/>
  <c r="R83" i="4"/>
  <c r="E47" i="13"/>
  <c r="F47" i="13" s="1"/>
  <c r="E93" i="13"/>
  <c r="F93" i="13" s="1"/>
  <c r="E52" i="13"/>
  <c r="F52" i="13" s="1"/>
  <c r="E50" i="13"/>
  <c r="F50" i="13" s="1"/>
  <c r="E90" i="13"/>
  <c r="F90" i="13" s="1"/>
  <c r="E85" i="13"/>
  <c r="F85" i="13" s="1"/>
  <c r="E86" i="13"/>
  <c r="F86" i="13" s="1"/>
  <c r="D89" i="11" l="1"/>
  <c r="D95" i="11"/>
  <c r="C70" i="13"/>
  <c r="B89" i="4"/>
  <c r="E89" i="4"/>
  <c r="R89" i="4" s="1"/>
  <c r="B90" i="11"/>
  <c r="C90" i="11"/>
  <c r="B89" i="13"/>
  <c r="C89" i="13" s="1"/>
  <c r="D30" i="11"/>
  <c r="B46" i="13"/>
  <c r="C46" i="13" s="1"/>
  <c r="E46" i="4"/>
  <c r="R46" i="4" s="1"/>
  <c r="B46" i="4"/>
  <c r="B47" i="11"/>
  <c r="C47" i="11"/>
  <c r="E85" i="4"/>
  <c r="R85" i="4" s="1"/>
  <c r="C86" i="11"/>
  <c r="B86" i="11"/>
  <c r="B85" i="13"/>
  <c r="C85" i="13" s="1"/>
  <c r="B85" i="4"/>
  <c r="R65" i="4"/>
  <c r="R70" i="4" s="1"/>
  <c r="E70" i="4"/>
  <c r="R29" i="4"/>
  <c r="C91" i="11"/>
  <c r="B90" i="4"/>
  <c r="B90" i="13"/>
  <c r="C90" i="13" s="1"/>
  <c r="B91" i="11"/>
  <c r="E90" i="4"/>
  <c r="R90" i="4" s="1"/>
  <c r="D66" i="11"/>
  <c r="C71" i="11"/>
  <c r="B71" i="11"/>
  <c r="D70" i="11"/>
  <c r="B42" i="11"/>
  <c r="E41" i="4"/>
  <c r="R41" i="4" s="1"/>
  <c r="B41" i="4"/>
  <c r="C42" i="11"/>
  <c r="B41" i="13"/>
  <c r="C41" i="13" s="1"/>
  <c r="E40" i="4"/>
  <c r="B41" i="11"/>
  <c r="C41" i="11"/>
  <c r="C42" i="4"/>
  <c r="B40" i="13"/>
  <c r="C40" i="13" s="1"/>
  <c r="B40" i="4"/>
  <c r="E86" i="4"/>
  <c r="R86" i="4" s="1"/>
  <c r="B87" i="11"/>
  <c r="B86" i="4"/>
  <c r="B86" i="13"/>
  <c r="C86" i="13" s="1"/>
  <c r="C87" i="11"/>
  <c r="B70" i="4"/>
  <c r="B70" i="13"/>
  <c r="D92" i="11"/>
  <c r="E89" i="13"/>
  <c r="F89" i="13" s="1"/>
  <c r="E41" i="13"/>
  <c r="F41" i="13" s="1"/>
  <c r="E94" i="13"/>
  <c r="F94" i="13" s="1"/>
  <c r="E46" i="13"/>
  <c r="F46" i="13" s="1"/>
  <c r="B43" i="11" l="1"/>
  <c r="D86" i="11"/>
  <c r="N188" i="23"/>
  <c r="N195" i="23" s="1"/>
  <c r="C42" i="13"/>
  <c r="D71" i="11"/>
  <c r="D87" i="11"/>
  <c r="D42" i="11"/>
  <c r="D91" i="11"/>
  <c r="S96" i="4"/>
  <c r="E96" i="13" s="1"/>
  <c r="E84" i="13"/>
  <c r="F84" i="13" s="1"/>
  <c r="F96" i="13" s="1"/>
  <c r="B42" i="13"/>
  <c r="B42" i="4"/>
  <c r="E40" i="13"/>
  <c r="F40" i="13" s="1"/>
  <c r="F42" i="13" s="1"/>
  <c r="S42" i="4"/>
  <c r="E42" i="13" s="1"/>
  <c r="B85" i="11"/>
  <c r="B97" i="11" s="1"/>
  <c r="B84" i="4"/>
  <c r="E84" i="4"/>
  <c r="C85" i="11"/>
  <c r="B84" i="13"/>
  <c r="C84" i="13" s="1"/>
  <c r="C96" i="13" s="1"/>
  <c r="C96" i="4"/>
  <c r="C43" i="11"/>
  <c r="D43" i="11" s="1"/>
  <c r="D41" i="11"/>
  <c r="D90" i="11"/>
  <c r="C44" i="11"/>
  <c r="B43" i="13"/>
  <c r="C43" i="13" s="1"/>
  <c r="B43" i="4"/>
  <c r="B44" i="11"/>
  <c r="E43" i="4"/>
  <c r="R43" i="4" s="1"/>
  <c r="E42" i="4"/>
  <c r="R40" i="4"/>
  <c r="R42" i="4" s="1"/>
  <c r="D47" i="11"/>
  <c r="E43" i="13"/>
  <c r="F43" i="13" s="1"/>
  <c r="B96" i="13" l="1"/>
  <c r="B96" i="4"/>
  <c r="D44" i="11"/>
  <c r="C14" i="11"/>
  <c r="B13" i="4"/>
  <c r="B13" i="13"/>
  <c r="C13" i="13" s="1"/>
  <c r="B14" i="11"/>
  <c r="E13" i="4"/>
  <c r="R13" i="4" s="1"/>
  <c r="D85" i="11"/>
  <c r="C97" i="11"/>
  <c r="D97" i="11" s="1"/>
  <c r="R84" i="4"/>
  <c r="R96" i="4" s="1"/>
  <c r="E96" i="4"/>
  <c r="E13" i="13" l="1"/>
  <c r="F13" i="13" s="1"/>
  <c r="D14" i="11"/>
  <c r="C32" i="11" l="1"/>
  <c r="B31" i="13"/>
  <c r="C31" i="13" s="1"/>
  <c r="B32" i="11"/>
  <c r="E31" i="4"/>
  <c r="R31" i="4" s="1"/>
  <c r="B31" i="4"/>
  <c r="E31" i="13"/>
  <c r="F31" i="13" s="1"/>
  <c r="D32" i="11" l="1"/>
  <c r="E80" i="4" l="1"/>
  <c r="R80" i="4" s="1"/>
  <c r="C81" i="11"/>
  <c r="B80" i="4"/>
  <c r="B80" i="13"/>
  <c r="C80" i="13" s="1"/>
  <c r="B81" i="11"/>
  <c r="D81" i="11" l="1"/>
  <c r="E80" i="13"/>
  <c r="F80" i="13" s="1"/>
  <c r="B75" i="4" l="1"/>
  <c r="E75" i="4"/>
  <c r="B75" i="13"/>
  <c r="C75" i="13" s="1"/>
  <c r="C77" i="13" s="1"/>
  <c r="B76" i="11"/>
  <c r="B78" i="11" s="1"/>
  <c r="C76" i="11"/>
  <c r="C77" i="4"/>
  <c r="D76" i="11" l="1"/>
  <c r="C78" i="11"/>
  <c r="D78" i="11" s="1"/>
  <c r="B77" i="13"/>
  <c r="B77" i="4"/>
  <c r="R75" i="4"/>
  <c r="R77" i="4" s="1"/>
  <c r="E77" i="4"/>
  <c r="B57" i="4"/>
  <c r="C58" i="11"/>
  <c r="B57" i="13"/>
  <c r="C57" i="13" s="1"/>
  <c r="E57" i="4"/>
  <c r="R57" i="4" s="1"/>
  <c r="B58" i="11"/>
  <c r="B56" i="4" l="1"/>
  <c r="B56" i="13"/>
  <c r="C56" i="13" s="1"/>
  <c r="E56" i="4"/>
  <c r="C57" i="11"/>
  <c r="B57" i="11"/>
  <c r="D58" i="11"/>
  <c r="D57" i="11" l="1"/>
  <c r="R56" i="4"/>
  <c r="E53" i="13" l="1"/>
  <c r="F53" i="13" s="1"/>
  <c r="E53" i="4" l="1"/>
  <c r="R53" i="4" s="1"/>
  <c r="C54" i="11"/>
  <c r="B53" i="13"/>
  <c r="C53" i="13" s="1"/>
  <c r="B54" i="11"/>
  <c r="B53" i="4"/>
  <c r="D54" i="11" l="1"/>
  <c r="E33" i="4" l="1"/>
  <c r="R33" i="4" s="1"/>
  <c r="S33" i="4" s="1"/>
  <c r="E33" i="13" s="1"/>
  <c r="F33" i="13" s="1"/>
  <c r="B33" i="4"/>
  <c r="B34" i="11"/>
  <c r="C34" i="11"/>
  <c r="B33" i="13"/>
  <c r="C33" i="13" s="1"/>
  <c r="D34" i="11" l="1"/>
  <c r="E30" i="4"/>
  <c r="B30" i="13"/>
  <c r="C30" i="13" s="1"/>
  <c r="B31" i="11"/>
  <c r="C31" i="11"/>
  <c r="B30" i="4"/>
  <c r="E30" i="13"/>
  <c r="F30" i="13" s="1"/>
  <c r="E35" i="13"/>
  <c r="F35" i="13" s="1"/>
  <c r="D31" i="11" l="1"/>
  <c r="R30" i="4"/>
  <c r="C36" i="11" l="1"/>
  <c r="B36" i="11"/>
  <c r="B35" i="13"/>
  <c r="C35" i="13" s="1"/>
  <c r="B35" i="4"/>
  <c r="E35" i="4"/>
  <c r="C38" i="4"/>
  <c r="E37" i="4"/>
  <c r="R37" i="4" s="1"/>
  <c r="B37" i="13"/>
  <c r="C37" i="13" s="1"/>
  <c r="B38" i="11"/>
  <c r="C38" i="11"/>
  <c r="B37" i="4"/>
  <c r="D38" i="11" l="1"/>
  <c r="C38" i="13"/>
  <c r="B38" i="13"/>
  <c r="B38" i="4"/>
  <c r="R35" i="4"/>
  <c r="R38" i="4" s="1"/>
  <c r="E38" i="4"/>
  <c r="B39" i="11"/>
  <c r="E37" i="13"/>
  <c r="F37" i="13" s="1"/>
  <c r="F38" i="13" s="1"/>
  <c r="S38" i="4"/>
  <c r="D36" i="11"/>
  <c r="C39" i="11"/>
  <c r="D39" i="11" l="1"/>
  <c r="E38" i="13"/>
  <c r="C81" i="4"/>
  <c r="B79" i="4"/>
  <c r="B79" i="13"/>
  <c r="C79" i="13" s="1"/>
  <c r="C81" i="13" s="1"/>
  <c r="E79" i="4"/>
  <c r="B80" i="11"/>
  <c r="B82" i="11" s="1"/>
  <c r="C80" i="11"/>
  <c r="C82" i="11" l="1"/>
  <c r="D82" i="11" s="1"/>
  <c r="D80" i="11"/>
  <c r="B81" i="13"/>
  <c r="B81" i="4"/>
  <c r="E81" i="4"/>
  <c r="R79" i="4"/>
  <c r="R81" i="4" s="1"/>
  <c r="S81" i="4" l="1"/>
  <c r="E81" i="13" s="1"/>
  <c r="E79" i="13"/>
  <c r="F79" i="13" s="1"/>
  <c r="F81" i="13" s="1"/>
  <c r="E45" i="13" l="1"/>
  <c r="F45" i="13" s="1"/>
  <c r="F54" i="13" s="1"/>
  <c r="F63" i="13" s="1"/>
  <c r="F97" i="13" s="1"/>
  <c r="S54" i="4"/>
  <c r="E45" i="4" l="1"/>
  <c r="B45" i="13"/>
  <c r="C45" i="13" s="1"/>
  <c r="C54" i="13" s="1"/>
  <c r="C46" i="11"/>
  <c r="B46" i="11"/>
  <c r="B55" i="11" s="1"/>
  <c r="C54" i="4"/>
  <c r="B45" i="4"/>
  <c r="E54" i="13"/>
  <c r="S63" i="4"/>
  <c r="B54" i="13" l="1"/>
  <c r="B54" i="4"/>
  <c r="D46" i="11"/>
  <c r="C55" i="11"/>
  <c r="E63" i="13"/>
  <c r="S97" i="4"/>
  <c r="E54" i="4"/>
  <c r="R45" i="4"/>
  <c r="R54" i="4" s="1"/>
  <c r="D55" i="11" l="1"/>
  <c r="AZ1046" i="3"/>
  <c r="E97" i="13"/>
  <c r="BA1056" i="3" l="1"/>
  <c r="AZ1051" i="3"/>
  <c r="BA1055" i="3" s="1"/>
  <c r="S104" i="4" l="1"/>
  <c r="E99" i="13"/>
  <c r="F99" i="13" s="1"/>
  <c r="F104" i="13" s="1"/>
  <c r="F105" i="13" s="1"/>
  <c r="F107" i="13" s="1"/>
  <c r="T11" i="15" s="1"/>
  <c r="T23" i="15" s="1"/>
  <c r="T26" i="15" l="1"/>
  <c r="T28" i="15" s="1"/>
  <c r="E104" i="13"/>
  <c r="BA1058" i="3"/>
  <c r="BA1059" i="3" s="1"/>
  <c r="S105" i="4"/>
  <c r="B61" i="4" l="1"/>
  <c r="B62" i="11"/>
  <c r="B63" i="11" s="1"/>
  <c r="B64" i="11" s="1"/>
  <c r="B98" i="11" s="1"/>
  <c r="C62" i="11"/>
  <c r="E61" i="4"/>
  <c r="B61" i="13"/>
  <c r="C61" i="13" s="1"/>
  <c r="C62" i="13" s="1"/>
  <c r="C63" i="13" s="1"/>
  <c r="C97" i="13" s="1"/>
  <c r="C62" i="4"/>
  <c r="S107" i="4"/>
  <c r="E105" i="13"/>
  <c r="B99" i="4"/>
  <c r="C100" i="11"/>
  <c r="B99" i="13"/>
  <c r="C99" i="13" s="1"/>
  <c r="C104" i="13" s="1"/>
  <c r="B100" i="11"/>
  <c r="B105" i="11" s="1"/>
  <c r="C104" i="4"/>
  <c r="B106" i="11" l="1"/>
  <c r="D100" i="11"/>
  <c r="C105" i="11"/>
  <c r="D105" i="11" s="1"/>
  <c r="C105" i="13"/>
  <c r="R61" i="4"/>
  <c r="R62" i="4" s="1"/>
  <c r="R63" i="4" s="1"/>
  <c r="R97" i="4" s="1"/>
  <c r="E62" i="4"/>
  <c r="E63" i="4" s="1"/>
  <c r="E97" i="4" s="1"/>
  <c r="D62" i="11"/>
  <c r="C63" i="11"/>
  <c r="B104" i="13"/>
  <c r="B104" i="4"/>
  <c r="AA1056" i="3"/>
  <c r="AA1057" i="3" s="1"/>
  <c r="G1058" i="3" s="1"/>
  <c r="E107" i="13"/>
  <c r="Y11" i="15" s="1"/>
  <c r="Y23" i="15" s="1"/>
  <c r="AF551" i="20"/>
  <c r="AF553" i="20" s="1"/>
  <c r="AK559" i="20" s="1"/>
  <c r="T818" i="20" s="1"/>
  <c r="AF818" i="20" s="1"/>
  <c r="BE81" i="3" s="1"/>
  <c r="AC456" i="3"/>
  <c r="B62" i="4"/>
  <c r="B63" i="4" s="1"/>
  <c r="B62" i="13"/>
  <c r="C63" i="4"/>
  <c r="Y26" i="15" l="1"/>
  <c r="Y28" i="15" s="1"/>
  <c r="AD38" i="15"/>
  <c r="AD40" i="15" s="1"/>
  <c r="B63" i="13"/>
  <c r="C97" i="4"/>
  <c r="D63" i="11"/>
  <c r="C64" i="11"/>
  <c r="C105" i="4" l="1"/>
  <c r="B97" i="13"/>
  <c r="B97" i="4"/>
  <c r="C98" i="11"/>
  <c r="D64" i="11"/>
  <c r="Y38" i="15"/>
  <c r="Y40" i="15" s="1"/>
  <c r="Y41" i="15" s="1"/>
  <c r="Y64" i="15"/>
  <c r="Y68" i="15" s="1"/>
  <c r="Y69" i="15" s="1"/>
  <c r="T29" i="15"/>
  <c r="D98" i="11" l="1"/>
  <c r="C106" i="11"/>
  <c r="D106" i="11" s="1"/>
  <c r="BE101" i="3"/>
  <c r="AG269" i="20"/>
  <c r="AC455" i="3"/>
  <c r="B105" i="13"/>
  <c r="B105" i="4"/>
  <c r="AB47" i="15" l="1"/>
  <c r="N185" i="23"/>
  <c r="BE22" i="3"/>
  <c r="AB266" i="20"/>
  <c r="AG268" i="20" s="1"/>
  <c r="AG270" i="20" s="1"/>
  <c r="AK273" i="20" s="1"/>
  <c r="T812" i="20" s="1"/>
  <c r="AF812" i="20" s="1"/>
  <c r="AC454" i="3"/>
  <c r="E108" i="4"/>
  <c r="BE77" i="3" l="1"/>
  <c r="AF821" i="20"/>
  <c r="BE70" i="3" s="1"/>
  <c r="BE44" i="3"/>
  <c r="F457" i="3"/>
  <c r="N186" i="23"/>
  <c r="N196" i="23"/>
  <c r="AM566" i="3" l="1"/>
  <c r="U62" i="7"/>
  <c r="G108" i="4" l="1"/>
  <c r="G99" i="4" s="1"/>
  <c r="U72" i="7"/>
  <c r="AO639" i="3"/>
  <c r="AB48" i="15" l="1"/>
  <c r="AB49" i="15" s="1"/>
  <c r="AB54" i="15" s="1"/>
  <c r="AB55" i="15" s="1"/>
  <c r="AB56" i="15" s="1"/>
  <c r="AO641" i="3"/>
  <c r="E99" i="4"/>
  <c r="G104" i="4"/>
  <c r="G105" i="4" s="1"/>
  <c r="R99" i="4" l="1"/>
  <c r="R104" i="4" s="1"/>
  <c r="R105" i="4" s="1"/>
  <c r="E104" i="4"/>
  <c r="E105" i="4" s="1"/>
  <c r="M26" i="3"/>
  <c r="AB57" i="15"/>
  <c r="AB59" i="15" s="1"/>
  <c r="AB77" i="15" s="1"/>
  <c r="AB78" i="15" s="1"/>
  <c r="BE19" i="3" l="1"/>
  <c r="P204" i="3"/>
  <c r="AB79" i="15"/>
  <c r="AB81" i="15" s="1"/>
  <c r="J82" i="15" s="1"/>
  <c r="I10" i="21"/>
  <c r="I11" i="21" s="1"/>
  <c r="I18" i="21" s="1"/>
  <c r="H4" i="21" s="1"/>
  <c r="H5" i="21" s="1"/>
  <c r="M27" i="3"/>
  <c r="BE83" i="3" l="1"/>
  <c r="BE20" i="3"/>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<sst xmlns="http://schemas.openxmlformats.org/spreadsheetml/2006/main" count="5004" uniqueCount="2752">
  <si>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</si>
  <si>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</si>
  <si>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</si>
  <si>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</si>
  <si>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</si>
  <si>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</si>
  <si>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</si>
  <si>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</si>
  <si>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</si>
  <si>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</si>
  <si>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</si>
  <si>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</si>
  <si>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</si>
  <si>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</si>
  <si>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</si>
  <si>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</si>
  <si>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</si>
  <si>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</si>
  <si>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</si>
  <si>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</si>
  <si>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</si>
  <si>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</si>
  <si>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</si>
  <si>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</si>
  <si>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</si>
  <si>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</si>
  <si>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</si>
  <si>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</si>
  <si>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</si>
  <si>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</si>
  <si>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</si>
  <si>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</si>
  <si>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</si>
  <si>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</si>
  <si>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</si>
  <si>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</si>
  <si>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</si>
  <si>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</si>
  <si>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</si>
  <si>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</si>
  <si>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</si>
  <si>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</si>
  <si>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</si>
  <si>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</si>
  <si>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</si>
  <si>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</si>
  <si>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</si>
  <si>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</si>
  <si>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</si>
  <si>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</si>
  <si>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</si>
  <si>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</si>
  <si>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</si>
  <si>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</si>
  <si>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</si>
  <si>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</si>
  <si>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</si>
  <si>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</si>
  <si>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</si>
  <si>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</si>
  <si>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</si>
  <si>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</si>
  <si>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</si>
  <si>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</si>
  <si>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</si>
  <si>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</si>
  <si>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</si>
  <si>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</si>
  <si>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</si>
  <si>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</si>
  <si>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</si>
  <si>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</si>
  <si>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</si>
  <si>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</si>
  <si>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</si>
  <si>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</si>
  <si>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</si>
  <si>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</si>
  <si>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</si>
  <si>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</si>
  <si>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</si>
  <si>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</si>
  <si>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</si>
  <si>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</si>
  <si>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</si>
  <si>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</si>
  <si>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</si>
  <si>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</si>
  <si>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</si>
  <si>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</si>
  <si>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</si>
  <si>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</si>
  <si>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</si>
  <si>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</si>
  <si>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</si>
  <si>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</si>
  <si>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</si>
  <si>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</si>
  <si>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</si>
  <si>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</si>
  <si>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</si>
  <si>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</si>
  <si>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</si>
  <si>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</si>
  <si>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</si>
  <si>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</si>
  <si>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</si>
  <si>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</si>
  <si>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</si>
  <si>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</si>
  <si>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</si>
  <si>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</si>
  <si>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</si>
  <si>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</si>
  <si>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</si>
  <si>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</si>
  <si>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</si>
  <si>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</si>
  <si>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</si>
  <si>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</si>
  <si>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</si>
  <si>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</si>
  <si>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</si>
  <si>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</si>
  <si>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</si>
  <si>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</si>
  <si>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</si>
  <si>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</si>
  <si>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</si>
  <si>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</si>
  <si>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</si>
  <si>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</si>
  <si>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</si>
  <si>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</si>
  <si>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</si>
  <si>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</si>
  <si>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</si>
  <si>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</si>
  <si>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</si>
  <si>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</si>
  <si>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</si>
  <si>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</si>
  <si>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</si>
  <si>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</si>
  <si>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</si>
  <si>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</si>
  <si>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</si>
  <si>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</si>
  <si>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</si>
  <si>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</si>
  <si>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</si>
  <si>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</si>
  <si>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</si>
  <si>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</si>
  <si>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</si>
  <si>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</si>
  <si>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</si>
  <si>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</si>
  <si>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</si>
  <si>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</si>
  <si>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</si>
  <si>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</si>
  <si>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</si>
  <si>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</si>
  <si>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</si>
  <si>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</si>
  <si>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</si>
  <si>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</si>
  <si>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</si>
  <si>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</si>
  <si>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</si>
  <si>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</si>
  <si>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</si>
  <si>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</si>
  <si>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</si>
  <si>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</si>
  <si>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</si>
  <si>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</si>
  <si>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</si>
  <si>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</si>
  <si>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</si>
  <si>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</si>
  <si>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</si>
  <si>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</si>
  <si>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</si>
  <si>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</si>
  <si>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</si>
  <si>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</si>
  <si>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</si>
  <si>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</si>
  <si>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</si>
  <si>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</si>
  <si>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</si>
  <si>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</si>
  <si>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</si>
  <si>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</si>
  <si>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</si>
  <si>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</si>
  <si>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</si>
  <si>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</si>
  <si>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</si>
  <si>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</si>
  <si>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</si>
  <si>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</si>
  <si>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</si>
  <si>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</si>
  <si>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</si>
  <si>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</si>
  <si>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</si>
  <si>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</si>
  <si>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</si>
  <si>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</si>
  <si>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</si>
  <si>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</si>
  <si>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</si>
  <si>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</si>
  <si>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</si>
  <si>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</si>
  <si>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</si>
  <si>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</si>
  <si>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</si>
  <si>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</si>
  <si>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</si>
  <si>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</si>
  <si>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</si>
  <si>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</si>
  <si>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</si>
  <si>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</si>
  <si>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</si>
  <si>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</si>
  <si>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</si>
  <si>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</si>
  <si>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</si>
  <si>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</si>
  <si>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</si>
  <si>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</si>
  <si>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</si>
  <si>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</si>
  <si>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</si>
  <si>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</si>
  <si>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</si>
  <si>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</si>
  <si>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</si>
  <si>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</si>
  <si>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</si>
  <si>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</si>
  <si>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</si>
  <si>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</si>
  <si>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</si>
  <si>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</si>
  <si>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</si>
  <si>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</si>
  <si>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</si>
  <si>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</si>
  <si>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</si>
  <si>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</si>
  <si>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</si>
  <si>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</si>
  <si>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</si>
  <si>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</si>
  <si>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</si>
  <si>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</si>
  <si>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</si>
  <si>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</si>
  <si>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</si>
  <si>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</si>
  <si>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</si>
  <si>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</si>
  <si>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</si>
  <si>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</si>
  <si>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</si>
  <si>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</si>
  <si>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</si>
  <si>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</si>
  <si>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</si>
  <si>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</si>
  <si>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</si>
  <si>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</si>
  <si>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</si>
  <si>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</si>
  <si>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</si>
  <si>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</si>
  <si>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</si>
  <si>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</si>
  <si>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</si>
  <si>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</si>
  <si>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</si>
  <si>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</si>
  <si>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</si>
  <si>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</si>
  <si>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</si>
  <si>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</si>
  <si>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</si>
  <si>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</si>
  <si>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</si>
  <si>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</si>
  <si>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</si>
  <si>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</si>
  <si>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</si>
  <si>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</si>
  <si>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</si>
  <si>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</si>
  <si>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</si>
  <si>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</si>
  <si>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</si>
  <si>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</si>
  <si>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</si>
  <si>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</si>
  <si>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</si>
  <si>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</si>
  <si>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</si>
  <si>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</si>
  <si>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</si>
  <si>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</si>
  <si>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</si>
  <si>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</si>
  <si>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</si>
  <si>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</si>
  <si>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</si>
  <si>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</si>
  <si>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</si>
  <si>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</si>
  <si>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</si>
  <si>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</si>
  <si>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</si>
  <si>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</si>
  <si>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</si>
  <si>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</si>
  <si>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</si>
  <si>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</si>
  <si>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</si>
  <si>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</si>
  <si>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</si>
  <si>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</si>
  <si>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</si>
  <si>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</si>
  <si>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</si>
  <si>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</si>
  <si>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</si>
  <si>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</si>
  <si>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</si>
  <si>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</si>
  <si>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</si>
  <si>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</si>
  <si>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</si>
  <si>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</si>
  <si>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</si>
  <si>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</si>
  <si>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</si>
  <si>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</si>
  <si>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</si>
  <si>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</si>
  <si>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</si>
  <si>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</si>
  <si>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</si>
  <si>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</si>
  <si>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</si>
  <si>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</si>
  <si>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</si>
  <si>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</si>
  <si>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</si>
  <si>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</si>
  <si>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</si>
  <si>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</si>
  <si>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</si>
  <si>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</si>
  <si>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</si>
  <si>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</si>
  <si>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</si>
  <si>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</si>
  <si>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</si>
  <si>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</si>
  <si>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</si>
  <si>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</si>
  <si>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</si>
  <si>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</si>
  <si>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</si>
  <si>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</si>
  <si>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</si>
  <si>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</si>
  <si>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</si>
  <si>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</si>
  <si>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</si>
  <si>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</si>
  <si>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</si>
  <si>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</si>
  <si>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</si>
  <si>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</si>
  <si>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</si>
  <si>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</si>
  <si>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</si>
  <si>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</si>
  <si>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</si>
  <si>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</si>
  <si>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</si>
  <si>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</si>
  <si>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</si>
  <si>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</si>
  <si>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</si>
  <si>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</si>
  <si>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</si>
  <si>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</si>
  <si>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</si>
  <si>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</si>
  <si>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</si>
  <si>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</si>
  <si>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</si>
  <si>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</si>
  <si>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</si>
  <si>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</si>
  <si>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</si>
  <si>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</si>
  <si>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</si>
  <si>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</si>
  <si>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</si>
  <si>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</si>
  <si>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</si>
  <si>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</si>
  <si>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</si>
  <si>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</si>
  <si>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</si>
  <si>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</si>
  <si>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</si>
  <si>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</si>
  <si>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</si>
  <si>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</si>
  <si>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</si>
  <si>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</si>
  <si>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</si>
  <si>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</si>
  <si>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</si>
  <si>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</si>
  <si>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</si>
  <si>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</si>
  <si>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</si>
  <si>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</si>
  <si>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</si>
  <si>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</si>
  <si>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</si>
  <si>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</si>
  <si>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</si>
  <si>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</si>
  <si>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</si>
  <si>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</si>
  <si>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</si>
  <si>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</si>
  <si>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</si>
  <si>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</si>
  <si>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</si>
  <si>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</si>
  <si>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</si>
  <si>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</si>
  <si>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</si>
  <si>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</si>
  <si>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</si>
  <si>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</si>
  <si>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</si>
  <si>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</si>
  <si>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</si>
  <si>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</si>
  <si>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</si>
  <si>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</si>
  <si>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</si>
  <si>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</si>
  <si>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</si>
  <si>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</si>
  <si>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</si>
  <si>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</si>
  <si>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</si>
  <si>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</si>
  <si>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</si>
  <si>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</si>
  <si>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</si>
  <si>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</si>
  <si>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</si>
  <si>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</si>
  <si>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</si>
  <si>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</si>
  <si>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</si>
  <si>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</si>
  <si>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</si>
  <si>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</si>
  <si>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</si>
  <si>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</si>
  <si>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</si>
  <si>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</si>
  <si>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</si>
  <si>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</si>
  <si>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</si>
  <si>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</si>
  <si>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</si>
  <si>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</si>
  <si>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</si>
  <si>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</si>
  <si>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</si>
  <si>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</si>
  <si>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</si>
  <si>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</si>
  <si>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</si>
  <si>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</si>
  <si>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</si>
  <si>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</si>
  <si>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</si>
  <si>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</si>
  <si>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</si>
  <si>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</si>
  <si>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</si>
  <si>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</si>
  <si>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</si>
  <si>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</si>
  <si>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</si>
  <si>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</si>
  <si>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</si>
  <si>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</si>
  <si>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</si>
  <si>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</si>
  <si>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</si>
  <si>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</si>
  <si>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</si>
  <si>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</si>
  <si>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</si>
  <si>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</si>
  <si>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</si>
  <si>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</si>
  <si>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</si>
  <si>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</si>
  <si>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</si>
  <si>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</si>
  <si>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</si>
  <si>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</si>
  <si>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</si>
  <si>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</si>
  <si>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</si>
  <si>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</si>
  <si>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</si>
  <si>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</si>
  <si>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</si>
  <si>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</si>
  <si>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</si>
  <si>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</si>
  <si>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</si>
  <si>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</si>
  <si>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</si>
  <si>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</si>
  <si>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</si>
  <si>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</si>
  <si>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</si>
  <si>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</si>
  <si>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</si>
  <si>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</si>
  <si>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</si>
  <si>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</si>
  <si>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</si>
  <si>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</si>
  <si>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</si>
  <si>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</si>
  <si>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</si>
  <si>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</si>
  <si>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</si>
  <si>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</si>
  <si>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</si>
  <si>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</si>
  <si>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</si>
  <si>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</si>
  <si>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</si>
  <si>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</si>
  <si>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</si>
  <si>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</si>
  <si>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</si>
  <si>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</si>
  <si>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</si>
  <si>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</si>
  <si>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</si>
  <si>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</si>
  <si>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</si>
  <si>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</si>
  <si>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</si>
  <si>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</si>
  <si>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</si>
  <si>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</si>
  <si>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</si>
  <si>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</si>
  <si>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</si>
  <si>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</si>
  <si>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</si>
  <si>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</si>
  <si>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</si>
  <si>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</si>
  <si>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</si>
  <si>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</si>
  <si>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</si>
  <si>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</si>
  <si>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</si>
  <si>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</si>
  <si>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</si>
  <si>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</si>
  <si>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</si>
  <si>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</si>
  <si>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</si>
  <si>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</si>
  <si>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</si>
  <si>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</si>
  <si>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</si>
  <si>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</si>
  <si>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</si>
  <si>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</si>
  <si>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</si>
  <si>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</si>
  <si>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</si>
  <si>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</si>
  <si>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</si>
  <si>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</si>
  <si>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</si>
  <si>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</si>
  <si>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</si>
  <si>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</si>
  <si>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</si>
  <si>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</si>
  <si>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</si>
  <si>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</si>
  <si>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</si>
  <si>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</si>
  <si>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</si>
  <si>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</si>
  <si>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</si>
  <si>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</si>
  <si>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</si>
  <si>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</si>
  <si>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</si>
  <si>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</si>
  <si>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</si>
  <si>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</si>
  <si>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</si>
  <si>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</si>
  <si>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</si>
  <si>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</si>
  <si>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</si>
  <si>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</si>
  <si>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</si>
  <si>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</si>
  <si>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</si>
  <si>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</si>
  <si>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</si>
  <si>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</si>
  <si>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</si>
  <si>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</si>
  <si>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</si>
  <si>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</si>
  <si>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</si>
  <si>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</si>
  <si>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</si>
  <si>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</si>
  <si>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</si>
  <si>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</si>
  <si>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</si>
  <si>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</si>
  <si>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</si>
  <si>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</si>
  <si>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</si>
  <si>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</si>
  <si>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</si>
  <si>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</si>
  <si>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</si>
  <si>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</si>
  <si>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</si>
  <si>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</si>
  <si>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</si>
  <si>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</si>
  <si>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</si>
  <si>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</si>
  <si>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</si>
  <si>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</si>
  <si>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</si>
  <si>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</si>
  <si>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</si>
  <si>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</si>
  <si>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</si>
  <si>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</si>
  <si>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</si>
  <si>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</si>
  <si>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</si>
  <si>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</si>
  <si>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</si>
  <si>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</si>
  <si>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</si>
  <si>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</si>
  <si>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</si>
  <si>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</si>
  <si>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</si>
  <si>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</si>
  <si>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</si>
  <si>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</si>
  <si>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</si>
  <si>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</si>
  <si>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</si>
  <si>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</si>
  <si>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</si>
  <si>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</si>
  <si>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</si>
  <si>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</si>
  <si>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</si>
  <si>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</si>
  <si>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</si>
  <si>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</si>
  <si>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</si>
  <si>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</si>
  <si>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</si>
  <si>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</si>
  <si>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</si>
  <si>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</si>
  <si>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</si>
  <si>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</si>
  <si>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</si>
  <si>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</si>
  <si>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</si>
  <si>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</si>
  <si>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</si>
  <si>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</si>
  <si>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</si>
  <si>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</si>
  <si>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</si>
  <si>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</si>
  <si>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</si>
  <si>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</si>
  <si>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</si>
  <si>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</si>
  <si>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</si>
  <si>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</si>
  <si>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</si>
  <si>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</si>
  <si>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</si>
  <si>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</si>
  <si>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</si>
  <si>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</si>
  <si>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</si>
  <si>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</si>
  <si>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</si>
  <si>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</si>
  <si>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</si>
  <si>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</si>
  <si>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</si>
  <si>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</si>
  <si>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</si>
  <si>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</si>
  <si>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</si>
  <si>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</si>
  <si>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</si>
  <si>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</si>
  <si>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</si>
  <si>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</si>
  <si>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</si>
  <si>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</si>
  <si>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</si>
  <si>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</si>
  <si>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</si>
  <si>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</si>
  <si>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</si>
  <si>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</si>
  <si>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</si>
  <si>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</si>
  <si>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</si>
  <si>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</si>
  <si>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</si>
  <si>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</si>
  <si>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</si>
  <si>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</si>
  <si>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</si>
  <si>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</si>
  <si>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</si>
  <si>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</si>
  <si>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</si>
  <si>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</si>
  <si>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</si>
  <si>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</si>
  <si>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</si>
  <si>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</si>
  <si>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</si>
  <si>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</si>
  <si>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</si>
  <si>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</si>
  <si>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</si>
  <si>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</si>
  <si>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</si>
  <si>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</si>
  <si>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</si>
  <si>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</si>
  <si>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</si>
  <si>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</si>
  <si>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</si>
  <si>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</si>
  <si>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</si>
  <si>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</si>
  <si>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</si>
  <si>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</si>
  <si>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</si>
  <si>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</si>
  <si>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</si>
  <si>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</si>
  <si>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</si>
  <si>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</si>
  <si>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</si>
  <si>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</si>
  <si>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</si>
  <si>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</si>
  <si>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</si>
  <si>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</si>
  <si>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</si>
  <si>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</si>
  <si>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</si>
  <si>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</si>
  <si>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</si>
  <si>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</si>
  <si>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</si>
  <si>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</si>
  <si>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</si>
  <si>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</si>
  <si>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</si>
  <si>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</si>
  <si>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</si>
  <si>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</si>
  <si>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</si>
  <si>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</si>
  <si>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</si>
  <si>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</si>
  <si>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</si>
  <si>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</si>
  <si>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</si>
  <si>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</si>
  <si>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</si>
  <si>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</si>
  <si>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</si>
  <si>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</si>
  <si>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</si>
  <si>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</si>
  <si>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</si>
  <si>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</si>
  <si>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</si>
  <si>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</si>
  <si>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</si>
  <si>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</si>
  <si>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</si>
  <si>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</si>
  <si>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</si>
  <si>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</si>
  <si>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</si>
  <si>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</si>
  <si>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</si>
  <si>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</si>
  <si>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</si>
  <si>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</si>
  <si>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</si>
  <si>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</si>
  <si>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</si>
  <si>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</si>
  <si>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</si>
  <si>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</si>
  <si>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</si>
  <si>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</si>
  <si>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</si>
  <si>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</si>
  <si>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</si>
  <si>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</si>
  <si>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</si>
  <si>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</si>
  <si>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</si>
  <si>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</si>
  <si>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</si>
  <si>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</si>
  <si>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</si>
  <si>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</si>
  <si>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</si>
  <si>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</si>
  <si>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</si>
  <si>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</si>
  <si>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</si>
  <si>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</si>
  <si>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</si>
  <si>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</si>
  <si>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</si>
  <si>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</si>
  <si>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</si>
  <si>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</si>
  <si>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</si>
  <si>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</si>
  <si>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</si>
  <si>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</si>
  <si>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</si>
  <si>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</si>
  <si>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</si>
  <si>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</si>
  <si>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</si>
  <si>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</si>
  <si>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</si>
  <si>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</si>
  <si>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</si>
  <si>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</si>
  <si>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</si>
  <si>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</si>
  <si>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</si>
  <si>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</si>
  <si>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</si>
  <si>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</si>
  <si>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</si>
  <si>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</si>
  <si>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</si>
  <si>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</si>
  <si>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</si>
  <si>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</si>
  <si>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</si>
  <si>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</si>
  <si>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</si>
  <si>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</si>
  <si>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</si>
  <si>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</si>
  <si>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</si>
  <si>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</si>
  <si>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</si>
  <si>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</si>
  <si>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</si>
  <si>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</si>
  <si>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</si>
  <si>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</si>
  <si>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</si>
  <si>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</si>
  <si>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</si>
  <si>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</si>
  <si>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</si>
  <si>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</si>
  <si>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</si>
  <si>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</si>
  <si>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</si>
  <si>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</si>
  <si>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</si>
  <si>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</si>
  <si>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</si>
  <si>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</si>
  <si>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</si>
  <si>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</si>
  <si>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</si>
  <si>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</si>
  <si>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</si>
  <si>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</si>
  <si>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</si>
  <si>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</si>
  <si>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</si>
  <si>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</si>
  <si>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</si>
  <si>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</si>
  <si>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</si>
  <si>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</si>
  <si>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</si>
  <si>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</si>
  <si>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</si>
  <si>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</si>
  <si>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</si>
  <si>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</si>
  <si>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</si>
  <si>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</si>
  <si>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</si>
  <si>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</si>
  <si>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</si>
  <si>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</si>
  <si>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</si>
  <si>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</si>
  <si>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</si>
  <si>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</si>
  <si>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</si>
  <si>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</si>
  <si>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</si>
  <si>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</si>
  <si>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</si>
  <si>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</si>
  <si>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</si>
  <si>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</si>
  <si>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</si>
  <si>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</si>
  <si>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</si>
  <si>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</si>
  <si>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</si>
  <si>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</si>
  <si>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</si>
  <si>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</si>
  <si>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</si>
  <si>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</si>
  <si>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</si>
  <si>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</si>
  <si>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</si>
  <si>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</si>
  <si>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</si>
  <si>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</si>
  <si>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</si>
  <si>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</si>
  <si>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</si>
  <si>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</si>
  <si>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</si>
  <si>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</si>
  <si>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</si>
  <si>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</si>
  <si>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</si>
  <si>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</si>
  <si>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</si>
  <si>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</si>
  <si>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</si>
  <si>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</si>
  <si>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</si>
  <si>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</si>
  <si>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</si>
  <si>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</si>
  <si>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</si>
  <si>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</si>
  <si>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</si>
  <si>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</si>
  <si>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</si>
  <si>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</si>
  <si>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</si>
  <si>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</si>
  <si>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</si>
  <si>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</si>
  <si>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</si>
  <si>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</si>
  <si>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</si>
  <si>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</si>
  <si>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</si>
  <si>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</si>
  <si>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</si>
  <si>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</si>
  <si>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</si>
  <si>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</si>
  <si>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</si>
  <si>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</si>
  <si>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</si>
  <si>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</si>
  <si>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</si>
  <si>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</si>
  <si>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</si>
  <si>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</si>
  <si>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</si>
  <si>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</si>
  <si>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</si>
  <si>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</si>
  <si>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</si>
  <si>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</si>
  <si>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</si>
  <si>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</si>
  <si>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</si>
  <si>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</si>
  <si>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</si>
  <si>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</si>
  <si>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</si>
  <si>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</si>
  <si>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</si>
  <si>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</si>
  <si>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</si>
  <si>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</si>
  <si>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</si>
  <si>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</si>
  <si>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</si>
  <si>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</si>
  <si>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</si>
  <si>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</si>
  <si>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</si>
  <si>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</si>
  <si>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</si>
  <si>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</si>
  <si>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</si>
  <si>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</si>
  <si>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</si>
  <si>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</si>
  <si>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</si>
  <si>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</si>
  <si>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</si>
  <si>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</si>
  <si>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</si>
  <si>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</si>
  <si>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</si>
  <si>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</si>
  <si>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</si>
  <si>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</si>
  <si>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</si>
  <si>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</si>
  <si>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</si>
  <si>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</si>
  <si>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</si>
  <si>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</si>
  <si>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</si>
  <si>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</si>
  <si>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</si>
  <si>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</si>
  <si>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</si>
  <si>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</si>
  <si>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</si>
  <si>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</si>
  <si>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</si>
  <si>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</si>
  <si>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</si>
  <si>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</si>
  <si>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</si>
  <si>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</si>
  <si>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</si>
  <si>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</si>
  <si>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</si>
  <si>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</si>
  <si>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</si>
  <si>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</si>
  <si>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</si>
  <si>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</si>
  <si>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</si>
  <si>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</si>
  <si>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</si>
  <si>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</si>
  <si>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</si>
  <si>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</si>
  <si>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</si>
  <si>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</si>
  <si>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</si>
  <si>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</si>
  <si>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</si>
  <si>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</si>
  <si>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</si>
  <si>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</si>
  <si>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</si>
  <si>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</si>
  <si>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</si>
  <si>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</si>
  <si>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</si>
  <si>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</si>
  <si>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</si>
  <si>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</si>
  <si>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</si>
  <si>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</si>
  <si>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</si>
  <si>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</si>
  <si>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</si>
  <si>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</si>
  <si>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</si>
  <si>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</si>
  <si>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</si>
  <si>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</si>
  <si>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</si>
  <si>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</si>
  <si>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</si>
  <si>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</si>
  <si>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</si>
  <si>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</si>
  <si>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</si>
  <si>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</si>
  <si>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</si>
  <si>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</si>
  <si>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</si>
  <si>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</si>
  <si>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</si>
  <si>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</si>
  <si>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</si>
  <si>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</si>
  <si>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</si>
  <si>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</si>
  <si>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</si>
  <si>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</si>
  <si>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</si>
  <si>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</si>
  <si>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</si>
  <si>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</si>
  <si>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</si>
  <si>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</si>
  <si>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</si>
  <si>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</si>
  <si>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</si>
  <si>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</si>
  <si>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</si>
  <si>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</si>
  <si>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</si>
  <si>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</si>
  <si>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</si>
  <si>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</si>
  <si>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</si>
  <si>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</si>
  <si>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</si>
  <si>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</si>
  <si>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</si>
  <si>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</si>
  <si>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</si>
  <si>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</si>
  <si>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</si>
  <si>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</si>
  <si>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</si>
  <si>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</si>
  <si>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</si>
  <si>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</si>
  <si>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</si>
  <si>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</si>
  <si>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</si>
  <si>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</si>
  <si>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</si>
  <si>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</si>
  <si>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</si>
  <si>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</si>
  <si>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</si>
  <si>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</si>
  <si>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</si>
  <si>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</si>
  <si>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</si>
  <si>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</si>
  <si>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</si>
  <si>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</si>
  <si>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</si>
  <si>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</si>
  <si>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</si>
  <si>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</si>
  <si>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</si>
  <si>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</si>
  <si>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</si>
  <si>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</si>
  <si>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</si>
  <si>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</si>
  <si>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</si>
  <si>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</si>
  <si>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</si>
  <si>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</si>
  <si>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</si>
  <si>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</si>
  <si>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</si>
  <si>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</si>
  <si>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</si>
  <si>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</si>
  <si>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</si>
  <si>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</si>
  <si>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</si>
  <si>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</si>
  <si>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</si>
  <si>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</si>
  <si>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</si>
  <si>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</si>
  <si>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</si>
  <si>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</si>
  <si>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</si>
  <si>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</si>
  <si>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</si>
  <si>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</si>
  <si>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</si>
  <si>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</si>
  <si>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</si>
  <si>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</si>
  <si>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</si>
  <si>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</si>
  <si>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</si>
  <si>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</si>
  <si>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</si>
  <si>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</si>
  <si>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</si>
  <si>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</si>
  <si>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</si>
  <si>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</si>
  <si>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</si>
  <si>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</si>
  <si>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</si>
  <si>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</si>
  <si>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</si>
  <si>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</si>
  <si>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</si>
  <si>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</si>
  <si>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</si>
  <si>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</si>
  <si>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</si>
  <si>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</si>
  <si>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</si>
  <si>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</si>
  <si>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</si>
  <si>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</si>
  <si>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</si>
  <si>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</si>
  <si>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</si>
  <si>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</si>
  <si>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</si>
  <si>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</si>
  <si>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</si>
  <si>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</si>
  <si>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</si>
  <si>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</si>
  <si>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</si>
  <si>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</si>
  <si>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</si>
  <si>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</si>
  <si>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</si>
  <si>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</si>
  <si>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</si>
  <si>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</si>
  <si>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</si>
  <si>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</si>
  <si>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</si>
  <si>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</si>
  <si>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</si>
  <si>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</si>
  <si>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</si>
  <si>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</si>
  <si>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</si>
  <si>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</si>
  <si>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</si>
  <si>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</si>
  <si>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</si>
  <si>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</si>
  <si>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</si>
  <si>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</si>
  <si>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</si>
  <si>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</si>
  <si>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</si>
  <si>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</si>
  <si>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</si>
  <si>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</si>
  <si>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</si>
  <si>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</si>
  <si>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</si>
  <si>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</si>
  <si>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</si>
  <si>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</si>
  <si>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</si>
  <si>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</si>
  <si>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</si>
  <si>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</si>
  <si>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</si>
  <si>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</si>
  <si>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</si>
  <si>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</si>
  <si>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</si>
  <si>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</si>
  <si>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</si>
  <si>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</si>
  <si>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</si>
  <si>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</si>
  <si>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</si>
  <si>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</si>
  <si>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</si>
  <si>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</si>
  <si>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</si>
  <si>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</si>
  <si>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</si>
  <si>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</si>
  <si>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</si>
  <si>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</si>
  <si>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</si>
  <si>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</si>
  <si>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</si>
  <si>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</si>
  <si>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</si>
  <si>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</si>
  <si>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</si>
  <si>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</si>
  <si>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</si>
  <si>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</si>
  <si>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</si>
  <si>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</si>
  <si>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</si>
  <si>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</si>
  <si>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</si>
  <si>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</si>
  <si>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</si>
  <si>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</si>
  <si>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</si>
  <si>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</si>
  <si>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</si>
  <si>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</si>
  <si>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</si>
  <si>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</si>
  <si>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</si>
  <si>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</si>
  <si>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</si>
  <si>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</si>
  <si>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</si>
  <si>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</si>
  <si>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</si>
  <si>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</si>
  <si>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</si>
  <si>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</si>
  <si>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</si>
  <si>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</si>
  <si>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</si>
  <si>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</si>
  <si>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</si>
  <si>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</si>
  <si>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</si>
  <si>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</si>
  <si>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</si>
  <si>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</si>
  <si>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</si>
  <si>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</si>
  <si>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</si>
  <si>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</si>
  <si>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</si>
  <si>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</si>
  <si>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</si>
  <si>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</si>
  <si>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</si>
  <si>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</si>
  <si>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</si>
  <si>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</si>
  <si>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</si>
  <si>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</si>
  <si>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</si>
  <si>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</si>
  <si>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</si>
  <si>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</si>
  <si>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</si>
  <si>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</si>
  <si>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</si>
  <si>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</si>
  <si>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</si>
  <si>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</si>
  <si>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</si>
  <si>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</si>
  <si>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</si>
  <si>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</si>
  <si>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</si>
  <si>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</si>
  <si>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</si>
  <si>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</si>
  <si>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</si>
  <si>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</si>
  <si>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</si>
  <si>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</si>
  <si>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</si>
  <si>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</si>
  <si>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</si>
  <si>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</si>
  <si>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</si>
  <si>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</si>
  <si>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</si>
  <si>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</si>
  <si>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</si>
  <si>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</si>
  <si>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</si>
  <si>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</si>
  <si>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</si>
  <si>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</si>
  <si>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</si>
  <si>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</si>
  <si>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</si>
  <si>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</si>
  <si>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</si>
  <si>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</si>
  <si>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</si>
  <si>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</si>
  <si>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</si>
  <si>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</si>
  <si>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</si>
  <si>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</si>
  <si>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</si>
  <si>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</si>
  <si>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</si>
  <si>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</si>
  <si>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</si>
  <si>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</si>
  <si>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</si>
  <si>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</si>
  <si>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</si>
  <si>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</si>
  <si>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</si>
  <si>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</si>
  <si>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</si>
  <si>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</si>
  <si>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</si>
  <si>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</si>
  <si>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</si>
  <si>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</si>
  <si>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</si>
  <si>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</si>
  <si>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</si>
  <si>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</si>
  <si>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</si>
  <si>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</si>
  <si>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</si>
  <si>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</si>
  <si>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</si>
  <si>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</si>
  <si>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</si>
  <si>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</si>
  <si>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</si>
  <si>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</si>
  <si>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</si>
  <si>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</si>
  <si>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</si>
  <si>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</si>
  <si>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</si>
  <si>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</si>
  <si>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</si>
  <si>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</si>
  <si>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</si>
  <si>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</si>
  <si>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</si>
  <si>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</si>
  <si>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</si>
  <si>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</si>
  <si>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</si>
  <si>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</si>
  <si>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</si>
  <si>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</si>
  <si>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</si>
  <si>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</si>
  <si>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</si>
  <si>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</si>
  <si>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</si>
  <si>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</si>
  <si>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</si>
  <si>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</si>
  <si>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</si>
  <si>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</si>
  <si>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</si>
  <si>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</si>
  <si>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</si>
  <si>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</si>
  <si>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</si>
  <si>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</si>
  <si>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</si>
  <si>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</si>
  <si>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</si>
  <si>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</si>
  <si>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</si>
  <si>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</si>
  <si>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</si>
  <si>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</si>
  <si>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</si>
  <si>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</si>
  <si>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</si>
  <si>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</si>
  <si>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</si>
  <si>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</si>
  <si>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</si>
  <si>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</si>
  <si>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</si>
  <si>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</si>
  <si>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</si>
  <si>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</si>
  <si>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</si>
  <si>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</si>
  <si>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</si>
  <si>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</si>
  <si>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</si>
  <si>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</si>
  <si>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</si>
  <si>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</si>
  <si>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</si>
  <si>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</si>
  <si>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</si>
  <si>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</si>
  <si>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</si>
  <si>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</si>
  <si>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</si>
  <si>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</si>
  <si>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</si>
  <si>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</si>
  <si>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</si>
  <si>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</si>
  <si>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</si>
  <si>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</si>
  <si>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</si>
  <si>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</si>
  <si>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</si>
  <si>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</si>
  <si>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</si>
  <si>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</si>
  <si>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</si>
  <si>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</si>
  <si>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</si>
  <si>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</si>
  <si>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</si>
  <si>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</si>
  <si>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</si>
  <si>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</si>
  <si>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</si>
  <si>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</si>
  <si>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</si>
  <si>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</si>
  <si>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</si>
  <si>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</si>
  <si>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</si>
  <si>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</si>
  <si>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</si>
  <si>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</si>
  <si>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</si>
  <si>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</si>
  <si>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</si>
  <si>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</si>
  <si>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</si>
  <si>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</si>
  <si>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</si>
  <si>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</si>
  <si>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</si>
  <si>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</si>
  <si>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</si>
  <si>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</si>
  <si>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</si>
  <si>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</si>
  <si>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</si>
  <si>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</si>
  <si>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</si>
  <si>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</si>
  <si>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</si>
  <si>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</si>
  <si>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</si>
  <si>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</si>
  <si>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</si>
  <si>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</si>
  <si>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</si>
  <si>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</si>
  <si>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</si>
  <si>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</si>
  <si>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</si>
  <si>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</si>
  <si>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</si>
  <si>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</si>
  <si>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</si>
  <si>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</si>
  <si>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</si>
  <si>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</si>
  <si>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</si>
  <si>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</si>
  <si>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</si>
  <si>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</si>
  <si>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</si>
  <si>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</si>
  <si>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</si>
  <si>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</si>
  <si>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</si>
  <si>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</si>
  <si>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</si>
  <si>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</si>
  <si>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</si>
  <si>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</si>
  <si>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</si>
  <si>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</si>
  <si>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</si>
  <si>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</si>
  <si>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</si>
  <si>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</si>
  <si>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</si>
  <si>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</si>
  <si>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</si>
  <si>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</si>
  <si>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</si>
  <si>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</si>
  <si>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</si>
  <si>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</si>
  <si>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</si>
  <si>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</si>
  <si>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</si>
  <si>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</si>
  <si>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</si>
  <si>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</si>
  <si>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</si>
  <si>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</si>
  <si>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</si>
  <si>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</si>
  <si>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</si>
  <si>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</si>
  <si>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</si>
  <si>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</si>
  <si>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</si>
  <si>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</si>
  <si>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</si>
  <si>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</si>
  <si>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</si>
  <si>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</si>
  <si>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</si>
  <si>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</si>
  <si>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</si>
  <si>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</si>
  <si>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</si>
  <si>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</si>
  <si>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</si>
  <si>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</si>
  <si>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</si>
  <si>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</si>
  <si>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</si>
  <si>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</si>
  <si>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</si>
  <si>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</si>
  <si>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</si>
  <si>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</si>
  <si>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</si>
  <si>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</si>
  <si>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</si>
  <si>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</si>
  <si>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</si>
  <si>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</si>
  <si>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</si>
  <si>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</si>
  <si>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</si>
  <si>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</si>
  <si>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</si>
  <si>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</si>
  <si>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</si>
  <si>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</si>
  <si>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</si>
  <si>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</si>
  <si>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</si>
  <si>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</si>
  <si>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</si>
  <si>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</si>
  <si>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</si>
  <si>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</si>
  <si>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</si>
  <si>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</si>
  <si>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</si>
  <si>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</si>
  <si>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</si>
  <si>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</si>
  <si>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</si>
  <si>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</si>
  <si>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</si>
  <si>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</si>
  <si>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</si>
  <si>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</si>
  <si>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</si>
  <si>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</si>
  <si>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</si>
  <si>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</si>
  <si>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</si>
  <si>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</si>
  <si>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</si>
  <si>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</si>
  <si>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</si>
  <si>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</si>
  <si>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</si>
  <si>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</si>
  <si>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</si>
  <si>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</si>
  <si>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</si>
  <si>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</si>
  <si>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</si>
  <si>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</si>
  <si>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</si>
  <si>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</si>
  <si>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</si>
  <si>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</si>
  <si>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</si>
  <si>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</si>
  <si>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</si>
  <si>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</si>
  <si>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</si>
  <si>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</si>
  <si>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</si>
  <si>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</si>
  <si>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</si>
  <si>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</si>
  <si>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</si>
  <si>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</si>
  <si>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</si>
  <si>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</si>
  <si>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</si>
  <si>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</si>
  <si>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</si>
  <si>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</si>
  <si>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</si>
  <si>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</si>
  <si>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</si>
  <si>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</si>
  <si>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</si>
  <si>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</si>
  <si>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</si>
  <si>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</si>
  <si>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</si>
  <si>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</si>
  <si>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</si>
  <si>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</si>
  <si>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</si>
  <si>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</si>
  <si>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</si>
  <si>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</si>
  <si>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</si>
  <si>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</si>
  <si>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</si>
  <si>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</si>
  <si>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</si>
  <si>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</si>
  <si>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</si>
  <si>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</si>
  <si>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</si>
  <si>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</si>
  <si>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</si>
  <si>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</si>
  <si>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</si>
  <si>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</si>
  <si>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</si>
  <si>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</si>
  <si>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</si>
  <si>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</si>
  <si>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</si>
  <si>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</si>
  <si>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</si>
  <si>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</si>
  <si>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</si>
  <si>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</si>
  <si>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</si>
  <si>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</si>
  <si>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</si>
  <si>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</si>
  <si>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</si>
  <si>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</si>
  <si>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</si>
  <si>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</si>
  <si>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</si>
  <si>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</si>
  <si>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</si>
  <si>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</si>
  <si>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</si>
  <si>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</si>
  <si>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</si>
  <si>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</si>
  <si>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</si>
  <si>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</si>
  <si>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</si>
  <si>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</si>
  <si>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</si>
  <si>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</si>
  <si>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</si>
  <si>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</si>
  <si>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</si>
  <si>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</si>
  <si>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</si>
  <si>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</si>
  <si>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</si>
  <si>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</si>
  <si>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</si>
  <si>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</si>
  <si>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</si>
  <si>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</si>
  <si>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</si>
  <si>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</si>
  <si>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</si>
  <si>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</si>
  <si>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</si>
  <si>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</si>
  <si>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</si>
  <si>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</si>
  <si>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</si>
  <si>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</si>
  <si>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</si>
  <si>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</si>
  <si>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</si>
  <si>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</si>
  <si>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</si>
  <si>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</si>
  <si>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</si>
  <si>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</si>
  <si>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</si>
  <si>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</si>
  <si>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</si>
  <si>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</si>
  <si>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</si>
  <si>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</si>
  <si>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</si>
  <si>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</si>
  <si>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</si>
  <si>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</si>
  <si>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</si>
  <si>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</si>
  <si>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</si>
  <si>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</si>
  <si>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</si>
  <si>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</si>
  <si>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</si>
  <si>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</si>
  <si>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</si>
  <si>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</si>
  <si>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</si>
  <si>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</si>
  <si>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</si>
  <si>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</si>
  <si>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</si>
  <si>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</si>
  <si>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</si>
  <si>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</si>
  <si>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</si>
  <si>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</si>
  <si>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</si>
  <si>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</si>
  <si>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</si>
  <si>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</si>
  <si>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</si>
  <si>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</si>
  <si>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</si>
  <si>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</si>
  <si>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</si>
  <si>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</si>
  <si>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</si>
  <si>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</si>
  <si>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</si>
  <si>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</si>
  <si>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</si>
  <si>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</si>
  <si>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</si>
  <si>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</si>
  <si>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</si>
  <si>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</si>
  <si>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</si>
  <si>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</si>
  <si>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</si>
  <si>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</si>
  <si>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</si>
  <si>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</si>
  <si>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</si>
  <si>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</si>
  <si>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</si>
  <si>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</si>
  <si>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</si>
  <si>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</si>
  <si>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</si>
  <si>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</si>
  <si>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</si>
  <si>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</si>
  <si>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</si>
  <si>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</si>
  <si>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</si>
  <si>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</si>
  <si>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</si>
  <si>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</si>
  <si>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</si>
  <si>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</si>
  <si>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</si>
  <si>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</si>
  <si>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</si>
  <si>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</si>
  <si>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</si>
  <si>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</si>
  <si>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</si>
  <si>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</si>
  <si>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</si>
  <si>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</si>
  <si>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</si>
  <si>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</si>
  <si>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</si>
  <si>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</si>
  <si>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</si>
  <si>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</si>
  <si>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</si>
  <si>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</si>
  <si>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</si>
  <si>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</si>
  <si>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</si>
  <si>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</si>
  <si>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</si>
  <si>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</si>
  <si>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</si>
  <si>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</si>
  <si>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</si>
  <si>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</si>
  <si>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</si>
  <si>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</si>
  <si>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</si>
  <si>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</si>
  <si>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</si>
  <si>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</si>
  <si>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</si>
  <si>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</si>
  <si>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</si>
  <si>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</si>
  <si>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</si>
  <si>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</si>
  <si>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</si>
  <si>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</si>
  <si>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</si>
  <si>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</si>
  <si>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</si>
  <si>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</si>
  <si>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</si>
  <si>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</si>
  <si>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</si>
  <si>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</si>
  <si>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</si>
  <si>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</si>
  <si>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</si>
  <si>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</si>
  <si>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</si>
  <si>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</si>
  <si>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</si>
  <si>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</si>
  <si>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</si>
  <si>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</si>
  <si>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</si>
  <si>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</si>
  <si>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</si>
  <si>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</si>
  <si>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</si>
  <si>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</si>
  <si>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</si>
  <si>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</si>
  <si>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</si>
  <si>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</si>
  <si>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</si>
  <si>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</si>
  <si>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</si>
  <si>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</si>
  <si>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</si>
  <si>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</si>
  <si>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</si>
  <si>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</si>
  <si>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</si>
  <si>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</si>
  <si>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</si>
  <si>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</si>
  <si>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</si>
  <si>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</si>
  <si>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</si>
  <si>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</si>
  <si>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</si>
  <si>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</si>
  <si>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</si>
  <si>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</si>
  <si>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</si>
  <si>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</si>
  <si>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</si>
  <si>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</si>
  <si>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</si>
  <si>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</si>
  <si>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</si>
  <si>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</si>
  <si>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</si>
  <si>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</si>
  <si>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</si>
  <si>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</si>
  <si>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</si>
  <si>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</si>
  <si>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</si>
  <si>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</si>
  <si>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</si>
  <si>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</si>
  <si>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</si>
  <si>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</si>
  <si>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</si>
  <si>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</si>
  <si>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</si>
  <si>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</si>
  <si>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</si>
  <si>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</si>
  <si>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</si>
  <si>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</si>
  <si>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</si>
  <si>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</si>
  <si>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</si>
  <si>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</si>
  <si>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</si>
  <si>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</si>
  <si>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</si>
  <si>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</si>
  <si>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</si>
  <si>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</si>
  <si>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</si>
  <si>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</si>
  <si>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</si>
  <si>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</si>
  <si>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</si>
  <si>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</si>
  <si>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</si>
  <si>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</si>
  <si>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</si>
  <si>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</si>
  <si>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</si>
  <si>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</si>
  <si>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</si>
  <si>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</si>
  <si>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</si>
  <si>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</si>
  <si>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</si>
  <si>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</si>
  <si>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</si>
  <si>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</si>
  <si>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</si>
  <si>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</si>
  <si>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</si>
  <si>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</si>
  <si>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</si>
  <si>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</si>
  <si>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</si>
  <si>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</si>
  <si>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</si>
  <si>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</si>
  <si>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</si>
  <si>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</si>
  <si>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</si>
  <si>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</si>
  <si>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</si>
  <si>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</si>
  <si>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</si>
  <si>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</si>
  <si>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</si>
  <si>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</si>
  <si>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</si>
  <si>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</si>
  <si>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</si>
  <si>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</si>
  <si>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</si>
  <si>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</si>
  <si>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</si>
  <si>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</si>
  <si>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</si>
  <si>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</si>
  <si>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</si>
  <si>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</si>
  <si>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</si>
  <si>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</si>
  <si>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</si>
  <si>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</si>
  <si>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</si>
  <si>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</si>
  <si>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</si>
  <si>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</si>
  <si>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</si>
  <si>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</si>
  <si>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</si>
  <si>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</si>
  <si>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</si>
  <si>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</si>
  <si>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</si>
  <si>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</si>
  <si>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</si>
  <si>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</si>
  <si>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</si>
  <si>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</si>
  <si>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</si>
  <si>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</si>
  <si>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</si>
  <si>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</si>
  <si>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</si>
  <si>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</si>
  <si>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</si>
  <si>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</si>
  <si>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</si>
  <si>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</si>
  <si>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</si>
  <si>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</si>
  <si>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</si>
  <si>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</si>
  <si>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</si>
  <si>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</si>
  <si>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</si>
  <si>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</si>
  <si>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</si>
  <si>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</si>
  <si>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</si>
  <si>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</si>
  <si>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</si>
  <si>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</si>
  <si>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</si>
  <si>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</si>
  <si>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</si>
  <si>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</si>
  <si>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</si>
  <si>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</si>
  <si>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</si>
  <si>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</si>
  <si>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</si>
  <si>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</si>
  <si>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</si>
  <si>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</si>
  <si>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</si>
  <si>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</si>
  <si>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</si>
  <si>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</si>
  <si>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</si>
  <si>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</si>
  <si>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</si>
  <si>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</si>
  <si>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</si>
  <si>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</si>
  <si>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</si>
  <si>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</si>
  <si>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</si>
  <si>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</si>
  <si>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</si>
  <si>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</si>
  <si>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</si>
  <si>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</si>
  <si>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</si>
  <si>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</si>
  <si>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</si>
  <si>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</si>
  <si>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</si>
  <si>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</si>
  <si>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</si>
  <si>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</si>
  <si>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</si>
  <si>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</si>
  <si>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</si>
  <si>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</si>
  <si>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</si>
  <si>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</si>
  <si>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</si>
  <si>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</si>
  <si>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</si>
  <si>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</si>
  <si>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</si>
  <si>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</si>
  <si>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</si>
  <si>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</si>
  <si>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</si>
  <si>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</si>
  <si>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</si>
  <si>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</si>
  <si>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</si>
  <si>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</si>
  <si>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</si>
  <si>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</si>
  <si>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</si>
  <si>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</si>
  <si>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</si>
  <si>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</si>
  <si>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</si>
  <si>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</si>
  <si>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</si>
  <si>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</si>
  <si>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</si>
  <si>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</si>
  <si>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</si>
  <si>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</si>
  <si>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</si>
  <si>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</si>
  <si>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</si>
  <si>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</si>
  <si>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</si>
  <si>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</si>
  <si>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</si>
  <si>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</si>
  <si>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</si>
  <si>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</si>
  <si>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</si>
  <si>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</si>
  <si>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</si>
  <si>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</si>
  <si>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</si>
  <si>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</si>
  <si>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</si>
  <si>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</si>
  <si>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</si>
  <si>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</si>
  <si>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</si>
  <si>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</si>
  <si>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</si>
  <si>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</si>
  <si>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</si>
  <si>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</si>
  <si>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</si>
  <si>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</si>
  <si>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</si>
  <si>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</si>
  <si>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</si>
  <si>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</si>
  <si>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</si>
  <si>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</si>
  <si>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</si>
  <si>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</si>
  <si>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</si>
  <si>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</si>
  <si>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</si>
  <si>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</si>
  <si>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</si>
  <si>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</si>
  <si>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</si>
  <si>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</si>
  <si>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</si>
  <si>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</si>
  <si>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</si>
  <si>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</si>
  <si>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</si>
  <si>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</si>
  <si>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</si>
  <si>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</si>
  <si>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</si>
  <si>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</si>
  <si>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</si>
  <si>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</si>
  <si>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</si>
  <si>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</si>
  <si>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</si>
  <si>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</si>
  <si>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</si>
  <si>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</si>
  <si>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</si>
  <si>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</si>
  <si>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</si>
  <si>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</si>
  <si>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</si>
  <si>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</si>
  <si>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</si>
  <si>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</si>
  <si>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</si>
  <si>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</si>
  <si>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</si>
  <si>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</si>
  <si>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</si>
  <si>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</si>
  <si>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</si>
  <si>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</si>
  <si>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</si>
  <si>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</si>
  <si>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</si>
  <si>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</si>
  <si>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</si>
  <si>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</si>
  <si>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</si>
  <si>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</si>
  <si>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</si>
  <si>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</si>
  <si>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</si>
  <si>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</si>
  <si>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</si>
  <si>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</si>
  <si>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</si>
  <si>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</si>
  <si>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</si>
  <si>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</si>
  <si>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</si>
  <si>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</si>
  <si>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</si>
  <si>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</si>
  <si>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</si>
  <si>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</si>
  <si>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</si>
  <si>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</si>
  <si>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</si>
  <si>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</si>
  <si>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</si>
  <si>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</si>
  <si>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</si>
  <si>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</si>
  <si>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</si>
  <si>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</si>
  <si>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</si>
  <si>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</si>
  <si>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</si>
  <si>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</si>
  <si>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</si>
  <si>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</si>
  <si>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</si>
  <si>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</si>
  <si>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</si>
  <si>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</si>
  <si>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</si>
  <si>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</si>
  <si>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</si>
  <si>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</si>
  <si>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</si>
  <si>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</si>
  <si>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</si>
  <si>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</si>
  <si>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</si>
  <si>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</si>
  <si>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</si>
  <si>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</si>
  <si>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</si>
  <si>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</si>
  <si>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</si>
  <si>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</si>
  <si>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</si>
  <si>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</si>
  <si>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</si>
  <si>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</si>
  <si>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</si>
  <si>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</si>
  <si>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</si>
  <si>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</si>
  <si>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</si>
  <si>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</si>
  <si>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</si>
  <si>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</si>
  <si>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</si>
  <si>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</si>
  <si>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</si>
  <si>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</si>
  <si>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</si>
  <si>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</si>
  <si>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</si>
  <si>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</si>
  <si>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</si>
  <si>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</si>
  <si>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</si>
  <si>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</si>
  <si>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</si>
  <si>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</si>
  <si>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</si>
  <si>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</si>
  <si>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</si>
  <si>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</si>
  <si>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</si>
  <si>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</si>
  <si>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</si>
  <si>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</si>
  <si>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</si>
  <si>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</si>
  <si>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</si>
  <si>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</si>
  <si>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</si>
  <si>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</si>
  <si>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</si>
  <si>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</si>
  <si>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</si>
  <si>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</si>
  <si>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</si>
  <si>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</si>
  <si>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</si>
  <si>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</si>
  <si>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</si>
  <si>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</si>
  <si>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</si>
  <si>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</si>
  <si>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</si>
  <si>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</si>
  <si>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</si>
  <si>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</si>
  <si>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</si>
  <si>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</si>
  <si>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</si>
  <si>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</si>
  <si>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</si>
  <si>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</si>
  <si>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</si>
  <si>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</si>
  <si>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</si>
  <si>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</si>
  <si>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</si>
  <si>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</si>
  <si>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</si>
  <si>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</si>
  <si>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</si>
  <si>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</si>
  <si>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</si>
  <si>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</si>
  <si>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</si>
  <si>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</si>
  <si>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</si>
  <si>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</si>
  <si>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</si>
  <si>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</si>
  <si>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</si>
  <si>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</si>
  <si>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</si>
  <si>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</si>
  <si>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</si>
  <si>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</si>
  <si>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</si>
  <si>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</si>
  <si>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</si>
  <si>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</si>
  <si>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</si>
  <si>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</si>
  <si>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</si>
  <si>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</si>
  <si>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</si>
  <si>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</si>
  <si>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</si>
  <si>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</si>
  <si>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</si>
  <si>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</si>
  <si>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</si>
  <si>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</si>
  <si>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</si>
  <si>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</si>
  <si>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</si>
  <si>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</si>
  <si>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</si>
  <si>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</si>
  <si>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</si>
  <si>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</si>
  <si>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</si>
  <si>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</si>
  <si>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</si>
  <si>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</si>
  <si>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</si>
  <si>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</si>
  <si>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</si>
  <si>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</si>
  <si>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</si>
  <si>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</si>
  <si>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</si>
  <si>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</si>
  <si>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</si>
  <si>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</si>
  <si>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</si>
  <si>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</si>
  <si>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</si>
  <si>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</si>
  <si>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</si>
  <si>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</si>
  <si>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</si>
  <si>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</si>
  <si>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</si>
  <si>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</si>
  <si>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</si>
  <si>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</si>
  <si>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</si>
  <si>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</si>
  <si>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</si>
  <si>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</si>
  <si>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</si>
  <si>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</si>
  <si>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</si>
  <si>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</si>
  <si>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</si>
  <si>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</si>
  <si>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</si>
  <si>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</si>
  <si>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</si>
  <si>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</si>
  <si>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</si>
  <si>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</si>
  <si>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</si>
  <si>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</si>
  <si>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</si>
  <si>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</si>
  <si>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</si>
  <si>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</si>
  <si>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</si>
  <si>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</si>
  <si>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</si>
  <si>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</si>
  <si>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</si>
  <si>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</si>
  <si>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</si>
  <si>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</si>
  <si>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</si>
  <si>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</si>
  <si>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</si>
  <si>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</si>
  <si>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</si>
  <si>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</si>
  <si>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</si>
  <si>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</si>
  <si>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</si>
  <si>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</si>
  <si>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</si>
  <si>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</si>
  <si>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</si>
  <si>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</si>
  <si>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</si>
  <si>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</si>
  <si>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</si>
  <si>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</si>
  <si>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</si>
  <si>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</si>
  <si>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</si>
  <si>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</si>
  <si>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</si>
  <si>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</si>
  <si>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</si>
  <si>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</si>
  <si>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</si>
  <si>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</si>
  <si>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</si>
  <si>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</si>
  <si>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</si>
  <si>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</si>
  <si>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</si>
  <si>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</si>
  <si>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</si>
  <si>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</si>
  <si>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</si>
  <si>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</si>
  <si>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</si>
  <si>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</si>
  <si>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</si>
  <si>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</si>
  <si>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</si>
  <si>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</si>
  <si>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</si>
  <si>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</si>
  <si>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</si>
  <si>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</si>
  <si>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</si>
  <si>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</si>
  <si>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</si>
  <si>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</si>
  <si>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</si>
  <si>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</si>
  <si>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</si>
  <si>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</si>
  <si>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</si>
  <si>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</si>
  <si>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</si>
  <si>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</si>
  <si>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</si>
  <si>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</si>
  <si>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</si>
  <si>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</si>
  <si>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</si>
  <si>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</si>
  <si>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</si>
  <si>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</si>
  <si>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</si>
  <si>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</si>
  <si>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</si>
  <si>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</si>
  <si>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</si>
  <si>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</si>
  <si>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</si>
  <si>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</si>
  <si>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</si>
  <si>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</si>
  <si>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</si>
  <si>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</si>
  <si>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</si>
  <si>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</si>
  <si>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</si>
  <si>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</si>
  <si>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</si>
  <si>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</si>
  <si>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</si>
  <si>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</si>
  <si>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</si>
  <si>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</si>
  <si>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</si>
  <si>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</si>
  <si>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</si>
  <si>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</si>
  <si>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</si>
  <si>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 xml:space="preserve">21010 Vanowen </t>
  </si>
  <si>
    <t>21010 Vanowen Street</t>
  </si>
  <si>
    <t xml:space="preserve">Solari Enterprises, Inc. </t>
  </si>
  <si>
    <t>Provided</t>
  </si>
  <si>
    <t>Not Applicable</t>
  </si>
  <si>
    <t xml:space="preserve">Meta Development, LLC </t>
  </si>
  <si>
    <t xml:space="preserve">21010 Vanowen, LLC </t>
  </si>
  <si>
    <t>Administrative GP</t>
  </si>
  <si>
    <t>Meta Development, LLC</t>
  </si>
  <si>
    <t xml:space="preserve">George Russo </t>
  </si>
  <si>
    <t xml:space="preserve">Chief Financial Officer </t>
  </si>
  <si>
    <t xml:space="preserve">May </t>
  </si>
  <si>
    <t xml:space="preserve">Los Angeles </t>
  </si>
  <si>
    <t xml:space="preserve">City of Los Angeles </t>
  </si>
  <si>
    <t>Timothy Elliott</t>
  </si>
  <si>
    <t>1200 W. 7th Street, 8th Floor</t>
  </si>
  <si>
    <t xml:space="preserve">(213) 808-8596 </t>
  </si>
  <si>
    <t>(213) 808-8910</t>
  </si>
  <si>
    <t>timothy.elliott@lacity.org</t>
  </si>
  <si>
    <t>2148-029-033</t>
  </si>
  <si>
    <t>40%/60% Average Income</t>
  </si>
  <si>
    <t>11150 W Olympic Blvd, Suite 620</t>
  </si>
  <si>
    <t>CA</t>
  </si>
  <si>
    <t xml:space="preserve">Chris Maffris </t>
  </si>
  <si>
    <t>(310) 575-3543</t>
  </si>
  <si>
    <t xml:space="preserve">(310) 575-3563	</t>
  </si>
  <si>
    <t>cmaffris@metahousing.com</t>
  </si>
  <si>
    <t>Foundation For Affordable Housing II, Inc.</t>
  </si>
  <si>
    <t>FFAH II Vanowen St. Apts CA, LLC</t>
  </si>
  <si>
    <t>tarun@ffah.org</t>
  </si>
  <si>
    <t>69 Newport Ave. Suite 200</t>
  </si>
  <si>
    <t>Bend</t>
  </si>
  <si>
    <t xml:space="preserve">Tarun Chandran </t>
  </si>
  <si>
    <t>(312) 219-8360</t>
  </si>
  <si>
    <t xml:space="preserve">Developer </t>
  </si>
  <si>
    <t xml:space="preserve">Taylor Rasmussen </t>
  </si>
  <si>
    <t>trasmussen@metahousing.com</t>
  </si>
  <si>
    <t>Taylor Rasmussen</t>
  </si>
  <si>
    <t>Los Angeles, CA 90064</t>
  </si>
  <si>
    <t>Bocarsly Emden Cowan Esmail &amp; Arndt LLP</t>
  </si>
  <si>
    <t>633 W 5th St Ste 7000</t>
  </si>
  <si>
    <t>Los Angeles, CA 90071</t>
  </si>
  <si>
    <t>Juan Bustamante</t>
  </si>
  <si>
    <t>(213) 239-8082</t>
  </si>
  <si>
    <t xml:space="preserve">(213) 239-0410	</t>
  </si>
  <si>
    <t>jbustamante@bocarsly.com</t>
  </si>
  <si>
    <t>Novogradac &amp; Company, LLP</t>
  </si>
  <si>
    <t>211 E Ocean Blvd 6th Floor</t>
  </si>
  <si>
    <t>Long Beach, CA 90802</t>
  </si>
  <si>
    <t xml:space="preserve">Bill Letsinger										</t>
  </si>
  <si>
    <t xml:space="preserve">(562) 256-2340					</t>
  </si>
  <si>
    <t>(562) 432-9483</t>
  </si>
  <si>
    <t xml:space="preserve">Bill.Letsinger@novoco.com										</t>
  </si>
  <si>
    <t>Sara Nachbar</t>
  </si>
  <si>
    <t>(913) 312-4616</t>
  </si>
  <si>
    <t>sara.nachbar@novoco.com</t>
  </si>
  <si>
    <t xml:space="preserve">Boston Financial </t>
  </si>
  <si>
    <t>8335 Sunset Blvd, Ste 203</t>
  </si>
  <si>
    <t>West Hollywood, CA 90069</t>
  </si>
  <si>
    <t xml:space="preserve">Roy Faerber </t>
  </si>
  <si>
    <t xml:space="preserve">(310) 860-4550 </t>
  </si>
  <si>
    <t>Roy.Faerber@bfim.com</t>
  </si>
  <si>
    <t>California Municipal Finance Authority</t>
  </si>
  <si>
    <t>2111 Palomar Airport Rd Ste 320</t>
  </si>
  <si>
    <t>Carlsbad, CA, 92011</t>
  </si>
  <si>
    <t>Anthony Stubbs</t>
  </si>
  <si>
    <t>(760) 930-1333</t>
  </si>
  <si>
    <t>(760) 683-3390</t>
  </si>
  <si>
    <t>astubbs@cmfa-ca.com</t>
  </si>
  <si>
    <t>Y&amp;M Architects</t>
  </si>
  <si>
    <t>724 S. Spring Street #304</t>
  </si>
  <si>
    <t>Los Angeles, CA 90012</t>
  </si>
  <si>
    <t>(213) 623-2107</t>
  </si>
  <si>
    <t>1507 W. Yale Avenue</t>
  </si>
  <si>
    <t xml:space="preserve">Orange, CA 92867 </t>
  </si>
  <si>
    <t>Gianna Solari</t>
  </si>
  <si>
    <t xml:space="preserve">714-282-2520   </t>
  </si>
  <si>
    <t xml:space="preserve">714-282-2517  </t>
  </si>
  <si>
    <t>gianna@solari-ent.com</t>
  </si>
  <si>
    <t>Warner Vanowen Associates, a California Limited Partnership</t>
  </si>
  <si>
    <t xml:space="preserve">19921 Turnberry Drive, </t>
  </si>
  <si>
    <t>Tarzana, CA 91356</t>
  </si>
  <si>
    <t xml:space="preserve">Safehold, Inc. </t>
  </si>
  <si>
    <t>Secured by Leasehold Interest</t>
  </si>
  <si>
    <t>Inner City Infill Site</t>
  </si>
  <si>
    <t xml:space="preserve">Citibank Tax-Exempt Loan </t>
  </si>
  <si>
    <t xml:space="preserve">Citibank Taxable Loan </t>
  </si>
  <si>
    <t xml:space="preserve">Boston Financial - Federal Tax Credit Equity </t>
  </si>
  <si>
    <t xml:space="preserve">Deferred Operating Reserve </t>
  </si>
  <si>
    <t>Housing Authority of the City of Los Angeles Utility Allowance (effective 12/1/24)</t>
  </si>
  <si>
    <t xml:space="preserve">Air Conditioning </t>
  </si>
  <si>
    <t>Managing GP</t>
  </si>
  <si>
    <t>Ryan Yanagita</t>
  </si>
  <si>
    <t>TBD</t>
  </si>
  <si>
    <t>Richard L. Aronoff</t>
  </si>
  <si>
    <t>Community Housing Program Manager
Manager</t>
  </si>
  <si>
    <t>Don Manning</t>
  </si>
  <si>
    <t>Trustee of the Richard L. Aronoff and Pamela S. Aronoff Living Trust</t>
  </si>
  <si>
    <t>Trustee of the Don &amp; Elaine Manning Living Trust</t>
  </si>
  <si>
    <t>No limit; Street wall requirements apply up to 35 ft.</t>
  </si>
  <si>
    <t>None</t>
  </si>
  <si>
    <t>Warner Center 2035 Specific Plan - Regional Center Commercial</t>
  </si>
  <si>
    <t>(WC) NORTHVILLAGE-SN-RIO  - 395 Units</t>
  </si>
  <si>
    <t>(WC) NORTHVILLAGE-SN-RIO - Unlimited</t>
  </si>
  <si>
    <t>300 S. Grand Ave., Suite 3110</t>
  </si>
  <si>
    <t>Hao Li</t>
  </si>
  <si>
    <t>(213) 239-1914</t>
  </si>
  <si>
    <t xml:space="preserve">Permanent Loan </t>
  </si>
  <si>
    <t xml:space="preserve">21010 Vanowen, LLC; an affiliate of Meta Development, LLC </t>
  </si>
  <si>
    <t>Fixed</t>
  </si>
  <si>
    <t>Construction Loan - Tax-Exempt</t>
  </si>
  <si>
    <t>Construction Loan - Recycled Bonds</t>
  </si>
  <si>
    <t>Construction Loan - Taxable</t>
  </si>
  <si>
    <t>8335 Sunset Blvd., Suite 203</t>
  </si>
  <si>
    <t>West Hollywood</t>
  </si>
  <si>
    <t>Roy Faerber</t>
  </si>
  <si>
    <t>Federal Tax Credit Equity</t>
  </si>
  <si>
    <t>(310) 860-4550</t>
  </si>
  <si>
    <t>11150 W. Olympic Blvd., Suite 620</t>
  </si>
  <si>
    <t>George Russo</t>
  </si>
  <si>
    <t>Deferred Operating Reserve</t>
  </si>
  <si>
    <t xml:space="preserve">Perm Loan: Citibank </t>
  </si>
  <si>
    <t>Owner-Hosted Broadband &amp; Storage</t>
  </si>
  <si>
    <t>Fire Sprinkler/Alarm Service</t>
  </si>
  <si>
    <t>Adminstrative &amp; Business License Tax</t>
  </si>
  <si>
    <t>Other (Land Use Covenant &amp; Annual Issuer &amp; Trustee Fee):</t>
  </si>
  <si>
    <t>Employee Burden &amp; Employee Apartment</t>
  </si>
  <si>
    <t xml:space="preserve">Other: Payment &amp; Performance Bonds </t>
  </si>
  <si>
    <t>Other: Partnership Legal/Other</t>
  </si>
  <si>
    <t>Other: Utility Connections/Deposits</t>
  </si>
  <si>
    <t>Managing General Partner Fee</t>
  </si>
  <si>
    <t>Above residual receipts line for cash flow</t>
  </si>
  <si>
    <t>Other (Owner-Hosted Broadband Expenses):</t>
  </si>
  <si>
    <t>Construction Loan Interest Post-CofO</t>
  </si>
  <si>
    <t>California Municipal Finance Authority (CMFA) - Recycled Bonds</t>
  </si>
  <si>
    <t>Ground Lease Interest Pre-Conversion</t>
  </si>
  <si>
    <t>Other: Organizational Costs &amp; Misc. Fees</t>
  </si>
  <si>
    <t>21010 Vanowen, LP</t>
  </si>
  <si>
    <t>ryanagita@ymarch.com</t>
  </si>
  <si>
    <t xml:space="preserve">N/A </t>
  </si>
  <si>
    <t xml:space="preserve">Citibank Tax-Exempt Recycled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</si>
</sst>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25631">
    <xf numFmtId="0" fontId="0" fillId="0" borderId="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9" fillId="36" borderId="18" applyNumberFormat="0" applyAlignment="0" applyProtection="0"/>
    <xf numFmtId="0" fontId="89" fillId="36" borderId="18" applyNumberFormat="0" applyAlignment="0" applyProtection="0"/>
    <xf numFmtId="0" fontId="90" fillId="37" borderId="19"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27" fillId="0" borderId="0" applyFont="0" applyFill="0" applyBorder="0" applyAlignment="0" applyProtection="0"/>
    <xf numFmtId="43" fontId="62" fillId="0" borderId="0" applyFont="0" applyFill="0" applyBorder="0" applyAlignment="0" applyProtection="0"/>
    <xf numFmtId="44" fontId="79"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xf numFmtId="44" fontId="79" fillId="0" borderId="0" applyFont="0" applyFill="0" applyBorder="0" applyAlignment="0" applyProtection="0"/>
    <xf numFmtId="44" fontId="27" fillId="0" borderId="0" applyFont="0" applyFill="0" applyBorder="0" applyAlignment="0" applyProtection="0"/>
    <xf numFmtId="44" fontId="81"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27"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8"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7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xf numFmtId="44" fontId="27" fillId="0" borderId="0" applyFont="0" applyFill="0" applyBorder="0" applyAlignment="0" applyProtection="0"/>
    <xf numFmtId="44" fontId="72" fillId="0" borderId="0" applyFont="0" applyFill="0" applyBorder="0" applyAlignment="0" applyProtection="0"/>
    <xf numFmtId="44" fontId="27" fillId="0" borderId="0" applyFont="0" applyFill="0" applyBorder="0" applyAlignment="0" applyProtection="0"/>
    <xf numFmtId="44" fontId="78"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27"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8"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27"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xf numFmtId="44" fontId="27" fillId="0" borderId="0" applyFont="0" applyFill="0" applyBorder="0" applyAlignment="0" applyProtection="0"/>
    <xf numFmtId="44" fontId="7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77" fillId="0" borderId="0" applyFont="0" applyFill="0" applyBorder="0" applyAlignment="0" applyProtection="0"/>
    <xf numFmtId="44" fontId="27" fillId="0" borderId="0" applyFont="0" applyFill="0" applyBorder="0" applyAlignment="0" applyProtection="0"/>
    <xf numFmtId="0" fontId="91" fillId="0" borderId="0" applyNumberFormat="0" applyFill="0" applyBorder="0" applyAlignment="0" applyProtection="0"/>
    <xf numFmtId="0" fontId="92" fillId="38" borderId="0" applyNumberFormat="0" applyBorder="0" applyAlignment="0" applyProtection="0"/>
    <xf numFmtId="0" fontId="93" fillId="0" borderId="20" applyNumberFormat="0" applyFill="0" applyAlignment="0" applyProtection="0"/>
    <xf numFmtId="0" fontId="93" fillId="0" borderId="20"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83" fillId="0" borderId="0" applyNumberFormat="0" applyFill="0" applyBorder="0" applyAlignment="0" applyProtection="0">
      <alignment vertical="top"/>
      <protection locked="0"/>
    </xf>
    <xf numFmtId="0" fontId="96" fillId="39" borderId="18" applyNumberFormat="0" applyAlignment="0" applyProtection="0"/>
    <xf numFmtId="0" fontId="20" fillId="0" borderId="0" applyNumberFormat="0" applyBorder="0"/>
    <xf numFmtId="0" fontId="21" fillId="0" borderId="0" applyBorder="0" applyAlignment="0"/>
    <xf numFmtId="0" fontId="22" fillId="0" borderId="0" applyFill="0" applyBorder="0" applyAlignment="0"/>
    <xf numFmtId="0" fontId="97" fillId="0" borderId="23" applyNumberFormat="0" applyFill="0" applyAlignment="0" applyProtection="0"/>
    <xf numFmtId="0" fontId="98" fillId="40"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2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69" fontId="63" fillId="0" borderId="0"/>
    <xf numFmtId="0" fontId="86" fillId="0" borderId="0"/>
    <xf numFmtId="0" fontId="27" fillId="0" borderId="0"/>
    <xf numFmtId="0" fontId="27" fillId="0" borderId="0"/>
    <xf numFmtId="0" fontId="68" fillId="0" borderId="0"/>
    <xf numFmtId="0" fontId="62" fillId="0" borderId="0"/>
    <xf numFmtId="0" fontId="68" fillId="0" borderId="0"/>
    <xf numFmtId="0" fontId="62" fillId="0" borderId="0"/>
    <xf numFmtId="0" fontId="74"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4"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4" fillId="0" borderId="0"/>
    <xf numFmtId="0" fontId="62" fillId="0" borderId="0">
      <alignment vertical="top"/>
    </xf>
    <xf numFmtId="0" fontId="86" fillId="0" borderId="0"/>
    <xf numFmtId="0" fontId="86" fillId="0" borderId="0"/>
    <xf numFmtId="0" fontId="86" fillId="0" borderId="0"/>
    <xf numFmtId="0" fontId="86" fillId="0" borderId="0"/>
    <xf numFmtId="0" fontId="74" fillId="0" borderId="0"/>
    <xf numFmtId="0" fontId="27" fillId="0" borderId="0"/>
    <xf numFmtId="0" fontId="86" fillId="0" borderId="0"/>
    <xf numFmtId="0" fontId="27"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86"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7" fillId="0" borderId="0"/>
    <xf numFmtId="0" fontId="62" fillId="0" borderId="0">
      <alignment vertical="top"/>
    </xf>
    <xf numFmtId="0" fontId="86" fillId="0" borderId="0"/>
    <xf numFmtId="0" fontId="86" fillId="0" borderId="0"/>
    <xf numFmtId="0" fontId="86" fillId="0" borderId="0"/>
    <xf numFmtId="0" fontId="86" fillId="0" borderId="0"/>
    <xf numFmtId="0" fontId="2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7" fillId="0" borderId="0"/>
    <xf numFmtId="0" fontId="86" fillId="0" borderId="0"/>
    <xf numFmtId="0" fontId="86" fillId="0" borderId="0"/>
    <xf numFmtId="0" fontId="86" fillId="0" borderId="0"/>
    <xf numFmtId="0" fontId="18" fillId="0" borderId="0" applyProtection="0">
      <protection locked="0"/>
    </xf>
    <xf numFmtId="0" fontId="27" fillId="0" borderId="0" applyProtection="0">
      <protection locked="0"/>
    </xf>
    <xf numFmtId="0" fontId="27" fillId="0" borderId="0" applyProtection="0">
      <protection locked="0"/>
    </xf>
    <xf numFmtId="0" fontId="63" fillId="0" borderId="0"/>
    <xf numFmtId="0" fontId="18" fillId="0" borderId="0"/>
    <xf numFmtId="0" fontId="78"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78"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101" fillId="36" borderId="25" applyNumberFormat="0" applyAlignment="0" applyProtection="0"/>
    <xf numFmtId="0" fontId="101" fillId="36" borderId="25" applyNumberFormat="0" applyAlignment="0" applyProtection="0"/>
    <xf numFmtId="0" fontId="23" fillId="0" borderId="0" applyNumberFormat="0" applyFill="0" applyBorder="0">
      <alignment horizontal="left"/>
    </xf>
    <xf numFmtId="0" fontId="102" fillId="0" borderId="0" applyNumberFormat="0" applyFill="0" applyBorder="0" applyAlignment="0" applyProtection="0"/>
    <xf numFmtId="0" fontId="103" fillId="0" borderId="26" applyNumberFormat="0" applyFill="0" applyAlignment="0" applyProtection="0"/>
    <xf numFmtId="0" fontId="103" fillId="0" borderId="26" applyNumberFormat="0" applyFill="0" applyAlignment="0" applyProtection="0"/>
    <xf numFmtId="0" fontId="104" fillId="0" borderId="0" applyNumberFormat="0" applyFill="0" applyBorder="0" applyAlignment="0" applyProtection="0"/>
    <xf numFmtId="0" fontId="18" fillId="0" borderId="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9" fontId="18" fillId="0" borderId="0" applyFont="0" applyFill="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9"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4" fontId="111"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112" fillId="0" borderId="0" applyNumberForma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02" fillId="0" borderId="0" applyNumberFormat="0" applyFill="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44" fontId="18" fillId="0" borderId="0" applyFont="0" applyFill="0" applyBorder="0" applyAlignment="0" applyProtection="0"/>
    <xf numFmtId="9" fontId="121" fillId="0" borderId="0" applyFont="0" applyFill="0" applyBorder="0" applyAlignment="0" applyProtection="0"/>
    <xf numFmtId="0" fontId="121" fillId="0" borderId="0"/>
    <xf numFmtId="0" fontId="12" fillId="0" borderId="0"/>
    <xf numFmtId="0" fontId="18" fillId="0" borderId="0"/>
    <xf numFmtId="43" fontId="12" fillId="0" borderId="0" applyFont="0" applyFill="0" applyBorder="0" applyAlignment="0" applyProtection="0"/>
    <xf numFmtId="9"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43" fontId="149" fillId="0" borderId="0" applyFont="0" applyFill="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44" fontId="151"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18" fillId="0" borderId="0" applyBorder="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18"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7">
    <xf numFmtId="0" fontId="0" fillId="0" borderId="0" xfId="0"/>
    <xf numFmtId="0" fontId="0" fillId="0" borderId="0" xfId="0" applyAlignment="1">
      <alignment horizontal="center"/>
    </xf>
    <xf numFmtId="0" fontId="25" fillId="0" borderId="0" xfId="0" applyFont="1"/>
    <xf numFmtId="0" fontId="18" fillId="0" borderId="0" xfId="0" applyFont="1"/>
    <xf numFmtId="0" fontId="27" fillId="0" borderId="0" xfId="0" applyFont="1"/>
    <xf numFmtId="0" fontId="0" fillId="0" borderId="4" xfId="0" applyBorder="1"/>
    <xf numFmtId="0" fontId="27" fillId="0" borderId="0" xfId="0" applyFont="1" applyAlignment="1">
      <alignment horizontal="center"/>
    </xf>
    <xf numFmtId="0" fontId="18"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5" fillId="0" borderId="4" xfId="0" applyFont="1" applyBorder="1"/>
    <xf numFmtId="164" fontId="0" fillId="0" borderId="0" xfId="0" applyNumberFormat="1" applyAlignment="1">
      <alignment horizontal="right"/>
    </xf>
    <xf numFmtId="0" fontId="25" fillId="0" borderId="0" xfId="0" applyFont="1" applyAlignment="1">
      <alignment horizontal="center"/>
    </xf>
    <xf numFmtId="0" fontId="18" fillId="0" borderId="0" xfId="543"/>
    <xf numFmtId="0" fontId="27" fillId="0" borderId="0" xfId="0" applyFont="1" applyAlignment="1">
      <alignment horizontal="left" vertical="top" wrapText="1"/>
    </xf>
    <xf numFmtId="0" fontId="33" fillId="0" borderId="0" xfId="0" applyFont="1"/>
    <xf numFmtId="0" fontId="26" fillId="0" borderId="0" xfId="0" applyFont="1" applyAlignment="1">
      <alignment vertical="top"/>
    </xf>
    <xf numFmtId="0" fontId="26" fillId="0" borderId="0" xfId="0" applyFont="1" applyAlignment="1">
      <alignment vertical="top" wrapText="1"/>
    </xf>
    <xf numFmtId="0" fontId="27" fillId="0" borderId="0" xfId="0" applyFont="1" applyAlignment="1">
      <alignment horizontal="left" indent="4"/>
    </xf>
    <xf numFmtId="0" fontId="26" fillId="0" borderId="0" xfId="0" applyFont="1" applyAlignment="1">
      <alignment horizontal="left" vertical="top"/>
    </xf>
    <xf numFmtId="0" fontId="26" fillId="0" borderId="0" xfId="0" applyFont="1" applyAlignment="1">
      <alignment horizontal="left"/>
    </xf>
    <xf numFmtId="0" fontId="26" fillId="0" borderId="0" xfId="0" applyFont="1"/>
    <xf numFmtId="0" fontId="38" fillId="0" borderId="0" xfId="543" applyFont="1"/>
    <xf numFmtId="1" fontId="26" fillId="0" borderId="0" xfId="0" applyNumberFormat="1" applyFont="1" applyAlignment="1">
      <alignment horizontal="left"/>
    </xf>
    <xf numFmtId="0" fontId="28" fillId="0" borderId="0" xfId="0" applyFont="1"/>
    <xf numFmtId="1" fontId="26" fillId="0" borderId="0" xfId="0" applyNumberFormat="1" applyFont="1" applyAlignment="1">
      <alignment horizontal="right"/>
    </xf>
    <xf numFmtId="0" fontId="0" fillId="0" borderId="0" xfId="0" applyAlignment="1">
      <alignment horizontal="right"/>
    </xf>
    <xf numFmtId="0" fontId="37" fillId="0" borderId="0" xfId="0" applyFont="1"/>
    <xf numFmtId="0" fontId="30" fillId="0" borderId="0" xfId="0" applyFont="1"/>
    <xf numFmtId="172" fontId="18" fillId="0" borderId="0" xfId="543" applyNumberFormat="1"/>
    <xf numFmtId="9" fontId="18" fillId="0" borderId="0" xfId="543" applyNumberFormat="1" applyAlignment="1">
      <alignment horizontal="left"/>
    </xf>
    <xf numFmtId="168" fontId="18" fillId="0" borderId="0" xfId="543" applyNumberFormat="1"/>
    <xf numFmtId="0" fontId="27" fillId="0" borderId="0" xfId="0" applyFont="1" applyAlignment="1">
      <alignment horizontal="right"/>
    </xf>
    <xf numFmtId="0" fontId="41" fillId="0" borderId="0" xfId="0" applyFont="1"/>
    <xf numFmtId="0" fontId="27" fillId="0" borderId="0" xfId="0" applyFont="1" applyAlignment="1">
      <alignment horizontal="left"/>
    </xf>
    <xf numFmtId="0" fontId="29" fillId="0" borderId="0" xfId="0" applyFont="1"/>
    <xf numFmtId="0" fontId="31" fillId="0" borderId="0" xfId="0" applyFont="1"/>
    <xf numFmtId="0" fontId="25"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5" fillId="0" borderId="1" xfId="0" applyFont="1" applyBorder="1" applyAlignment="1">
      <alignment horizontal="center" wrapText="1"/>
    </xf>
    <xf numFmtId="0" fontId="25"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5" fillId="0" borderId="4" xfId="0" applyFont="1" applyBorder="1" applyAlignment="1">
      <alignment horizontal="center"/>
    </xf>
    <xf numFmtId="0" fontId="34" fillId="0" borderId="3" xfId="0" applyFont="1" applyBorder="1" applyAlignment="1">
      <alignment horizontal="left"/>
    </xf>
    <xf numFmtId="0" fontId="34" fillId="0" borderId="9" xfId="0" applyFont="1" applyBorder="1" applyAlignment="1">
      <alignment horizontal="left"/>
    </xf>
    <xf numFmtId="0" fontId="25" fillId="0" borderId="4" xfId="0" applyFont="1" applyBorder="1" applyAlignment="1">
      <alignment horizontal="right"/>
    </xf>
    <xf numFmtId="0" fontId="25" fillId="0" borderId="5" xfId="0" applyFont="1" applyBorder="1" applyAlignment="1">
      <alignment horizontal="right"/>
    </xf>
    <xf numFmtId="0" fontId="34" fillId="0" borderId="0" xfId="0" applyFont="1" applyAlignment="1">
      <alignment horizontal="left"/>
    </xf>
    <xf numFmtId="0" fontId="25" fillId="0" borderId="0" xfId="0" applyFont="1" applyAlignment="1">
      <alignment horizontal="right"/>
    </xf>
    <xf numFmtId="0" fontId="25"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7" fillId="0" borderId="11" xfId="0" applyFont="1" applyBorder="1" applyAlignment="1">
      <alignment horizontal="left"/>
    </xf>
    <xf numFmtId="0" fontId="25" fillId="0" borderId="9" xfId="0" applyFont="1" applyBorder="1"/>
    <xf numFmtId="164" fontId="0" fillId="0" borderId="0" xfId="0" applyNumberFormat="1" applyAlignment="1">
      <alignment horizontal="center"/>
    </xf>
    <xf numFmtId="0" fontId="0" fillId="0" borderId="12" xfId="0" applyBorder="1"/>
    <xf numFmtId="0" fontId="27" fillId="0" borderId="3" xfId="0" applyFont="1" applyBorder="1"/>
    <xf numFmtId="0" fontId="27" fillId="0" borderId="0" xfId="543" applyFont="1"/>
    <xf numFmtId="0" fontId="43" fillId="0" borderId="0" xfId="543" applyFont="1"/>
    <xf numFmtId="49" fontId="18" fillId="0" borderId="0" xfId="543" applyNumberFormat="1"/>
    <xf numFmtId="0" fontId="41" fillId="0" borderId="0" xfId="543" applyFont="1"/>
    <xf numFmtId="168" fontId="38" fillId="0" borderId="6" xfId="543" applyNumberFormat="1" applyFont="1" applyBorder="1" applyAlignment="1">
      <alignment horizontal="left"/>
    </xf>
    <xf numFmtId="168" fontId="38" fillId="0" borderId="6" xfId="543" applyNumberFormat="1" applyFont="1" applyBorder="1" applyAlignment="1">
      <alignment horizontal="center"/>
    </xf>
    <xf numFmtId="0" fontId="18" fillId="0" borderId="8" xfId="543" applyBorder="1"/>
    <xf numFmtId="0" fontId="38" fillId="0" borderId="0" xfId="543" applyFont="1" applyAlignment="1">
      <alignment horizontal="center"/>
    </xf>
    <xf numFmtId="0" fontId="37" fillId="0" borderId="9" xfId="543" applyFont="1" applyBorder="1" applyAlignment="1">
      <alignment horizontal="left" vertical="top" wrapText="1"/>
    </xf>
    <xf numFmtId="0" fontId="37" fillId="0" borderId="6" xfId="543" applyFont="1" applyBorder="1" applyAlignment="1">
      <alignment horizontal="center" vertical="top" wrapText="1"/>
    </xf>
    <xf numFmtId="0" fontId="18" fillId="0" borderId="9" xfId="543" applyBorder="1"/>
    <xf numFmtId="0" fontId="18" fillId="0" borderId="10" xfId="543" applyBorder="1"/>
    <xf numFmtId="0" fontId="18" fillId="0" borderId="1" xfId="543" applyBorder="1"/>
    <xf numFmtId="0" fontId="38" fillId="0" borderId="2" xfId="543" applyFont="1" applyBorder="1" applyAlignment="1">
      <alignment horizontal="center"/>
    </xf>
    <xf numFmtId="0" fontId="40" fillId="0" borderId="8" xfId="543" applyFont="1" applyBorder="1" applyAlignment="1">
      <alignment horizontal="left" vertical="top" wrapText="1"/>
    </xf>
    <xf numFmtId="0" fontId="37" fillId="0" borderId="0" xfId="543" applyFont="1" applyAlignment="1">
      <alignment horizontal="center" vertical="top" wrapText="1"/>
    </xf>
    <xf numFmtId="0" fontId="18" fillId="0" borderId="12" xfId="543" applyBorder="1"/>
    <xf numFmtId="0" fontId="40" fillId="0" borderId="0" xfId="543" applyFont="1" applyAlignment="1">
      <alignment horizontal="center" vertical="top" wrapText="1"/>
    </xf>
    <xf numFmtId="0" fontId="40" fillId="0" borderId="9" xfId="543" applyFont="1" applyBorder="1" applyAlignment="1">
      <alignment horizontal="left" vertical="top" wrapText="1"/>
    </xf>
    <xf numFmtId="0" fontId="18" fillId="0" borderId="2" xfId="543" applyBorder="1"/>
    <xf numFmtId="0" fontId="18" fillId="0" borderId="7" xfId="543" applyBorder="1"/>
    <xf numFmtId="0" fontId="37" fillId="0" borderId="0" xfId="543" applyFont="1"/>
    <xf numFmtId="0" fontId="18" fillId="0" borderId="0" xfId="543" applyAlignment="1">
      <alignment horizontal="center"/>
    </xf>
    <xf numFmtId="0" fontId="26" fillId="0" borderId="6" xfId="543" applyFont="1" applyBorder="1" applyAlignment="1">
      <alignment vertical="top" wrapText="1"/>
    </xf>
    <xf numFmtId="0" fontId="27" fillId="0" borderId="0" xfId="0" applyFont="1" applyAlignment="1">
      <alignment horizontal="left" vertical="top"/>
    </xf>
    <xf numFmtId="0" fontId="0" fillId="2" borderId="2" xfId="0" applyFill="1" applyBorder="1"/>
    <xf numFmtId="0" fontId="0" fillId="2" borderId="7" xfId="0" applyFill="1" applyBorder="1"/>
    <xf numFmtId="0" fontId="25" fillId="0" borderId="6" xfId="0" applyFont="1" applyBorder="1" applyAlignment="1">
      <alignment horizontal="right"/>
    </xf>
    <xf numFmtId="0" fontId="24" fillId="0" borderId="0" xfId="0" applyFont="1" applyAlignment="1">
      <alignment horizontal="center" vertical="center"/>
    </xf>
    <xf numFmtId="0" fontId="25" fillId="0" borderId="0" xfId="0" applyFont="1" applyAlignment="1">
      <alignment vertical="top"/>
    </xf>
    <xf numFmtId="166" fontId="0" fillId="0" borderId="0" xfId="0" applyNumberFormat="1" applyAlignment="1">
      <alignment horizontal="right"/>
    </xf>
    <xf numFmtId="0" fontId="48" fillId="0" borderId="0" xfId="0" applyFont="1"/>
    <xf numFmtId="0" fontId="35" fillId="0" borderId="0" xfId="0" applyFont="1"/>
    <xf numFmtId="0" fontId="19" fillId="0" borderId="0" xfId="244" applyBorder="1" applyProtection="1"/>
    <xf numFmtId="0" fontId="19" fillId="0" borderId="0" xfId="244" applyFill="1" applyBorder="1" applyAlignment="1">
      <alignment horizontal="center" vertical="center"/>
    </xf>
    <xf numFmtId="0" fontId="18" fillId="0" borderId="3" xfId="543" applyBorder="1"/>
    <xf numFmtId="0" fontId="40" fillId="0" borderId="4" xfId="543" applyFont="1" applyBorder="1" applyAlignment="1">
      <alignment horizontal="right" vertical="top" wrapText="1"/>
    </xf>
    <xf numFmtId="0" fontId="27" fillId="0" borderId="6" xfId="0" applyFont="1" applyBorder="1"/>
    <xf numFmtId="0" fontId="27" fillId="0" borderId="2" xfId="0" applyFont="1" applyBorder="1"/>
    <xf numFmtId="0" fontId="27" fillId="0" borderId="7" xfId="0" applyFont="1" applyBorder="1"/>
    <xf numFmtId="0" fontId="27" fillId="0" borderId="12" xfId="0" applyFont="1" applyBorder="1"/>
    <xf numFmtId="0" fontId="27" fillId="0" borderId="9" xfId="0" applyFont="1" applyBorder="1"/>
    <xf numFmtId="0" fontId="27" fillId="0" borderId="10" xfId="0" applyFont="1" applyBorder="1"/>
    <xf numFmtId="0" fontId="32" fillId="0" borderId="6" xfId="0" applyFont="1" applyBorder="1" applyAlignment="1">
      <alignment vertical="top" wrapText="1"/>
    </xf>
    <xf numFmtId="0" fontId="32" fillId="0" borderId="5" xfId="0" applyFont="1" applyBorder="1" applyAlignment="1">
      <alignment vertical="top" wrapText="1"/>
    </xf>
    <xf numFmtId="0" fontId="32" fillId="0" borderId="4" xfId="0" applyFont="1" applyBorder="1" applyAlignment="1">
      <alignment vertical="top" wrapText="1"/>
    </xf>
    <xf numFmtId="0" fontId="32" fillId="2" borderId="6" xfId="0" applyFont="1" applyFill="1" applyBorder="1" applyAlignment="1">
      <alignment vertical="top" wrapText="1"/>
    </xf>
    <xf numFmtId="0" fontId="0" fillId="0" borderId="8" xfId="0" applyBorder="1"/>
    <xf numFmtId="0" fontId="25" fillId="0" borderId="2" xfId="0" applyFont="1" applyBorder="1"/>
    <xf numFmtId="0" fontId="27" fillId="0" borderId="0" xfId="0" applyFont="1" applyAlignment="1">
      <alignment vertical="top"/>
    </xf>
    <xf numFmtId="0" fontId="27" fillId="0" borderId="0" xfId="0" applyFont="1" applyAlignment="1">
      <alignment vertical="top" wrapText="1"/>
    </xf>
    <xf numFmtId="0" fontId="18" fillId="0" borderId="0" xfId="0" applyFont="1" applyAlignment="1">
      <alignment horizontal="left"/>
    </xf>
    <xf numFmtId="0" fontId="18" fillId="0" borderId="0" xfId="0" applyFont="1" applyAlignment="1">
      <alignment vertical="top"/>
    </xf>
    <xf numFmtId="0" fontId="47" fillId="0" borderId="0" xfId="0" applyFont="1"/>
    <xf numFmtId="0" fontId="18" fillId="0" borderId="3" xfId="0" applyFont="1" applyBorder="1"/>
    <xf numFmtId="0" fontId="18"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2" fillId="3" borderId="4" xfId="0" applyFont="1" applyFill="1" applyBorder="1" applyAlignment="1">
      <alignment vertical="top" wrapText="1"/>
    </xf>
    <xf numFmtId="0" fontId="32" fillId="3" borderId="5" xfId="0" applyFont="1" applyFill="1" applyBorder="1" applyAlignment="1">
      <alignment vertical="top" wrapText="1"/>
    </xf>
    <xf numFmtId="0" fontId="50" fillId="0" borderId="0" xfId="0" applyFont="1"/>
    <xf numFmtId="0" fontId="27" fillId="0" borderId="4" xfId="0" applyFont="1" applyBorder="1"/>
    <xf numFmtId="0" fontId="25" fillId="0" borderId="2" xfId="0" applyFont="1" applyBorder="1" applyAlignment="1">
      <alignment horizontal="center"/>
    </xf>
    <xf numFmtId="0" fontId="25" fillId="0" borderId="0" xfId="0" applyFont="1" applyAlignment="1">
      <alignment horizontal="center" vertical="center" wrapText="1"/>
    </xf>
    <xf numFmtId="0" fontId="25" fillId="0" borderId="7" xfId="543" applyFont="1" applyBorder="1" applyAlignment="1">
      <alignment horizontal="right"/>
    </xf>
    <xf numFmtId="0" fontId="26" fillId="0" borderId="9" xfId="543" applyFont="1" applyBorder="1"/>
    <xf numFmtId="0" fontId="27" fillId="0" borderId="6" xfId="543" applyFont="1" applyBorder="1"/>
    <xf numFmtId="0" fontId="26" fillId="0" borderId="6" xfId="543" applyFont="1" applyBorder="1" applyAlignment="1">
      <alignment horizontal="right"/>
    </xf>
    <xf numFmtId="0" fontId="25" fillId="0" borderId="0" xfId="0" applyFont="1" applyAlignment="1">
      <alignment horizontal="center" vertical="center"/>
    </xf>
    <xf numFmtId="0" fontId="27" fillId="0" borderId="0" xfId="0" applyFont="1" applyAlignment="1">
      <alignment horizontal="left" vertical="center"/>
    </xf>
    <xf numFmtId="0" fontId="55" fillId="0" borderId="3" xfId="0" applyFont="1" applyBorder="1" applyAlignment="1">
      <alignment horizontal="left" vertical="top"/>
    </xf>
    <xf numFmtId="0" fontId="55" fillId="0" borderId="13" xfId="0" applyFont="1" applyBorder="1" applyAlignment="1">
      <alignment horizontal="center" wrapText="1"/>
    </xf>
    <xf numFmtId="0" fontId="55" fillId="0" borderId="13" xfId="0" applyFont="1" applyBorder="1" applyAlignment="1">
      <alignment horizontal="center" vertical="top" wrapText="1"/>
    </xf>
    <xf numFmtId="0" fontId="55" fillId="2" borderId="13" xfId="0" applyFont="1" applyFill="1" applyBorder="1" applyAlignment="1">
      <alignment horizontal="center" wrapText="1"/>
    </xf>
    <xf numFmtId="0" fontId="56" fillId="2" borderId="11" xfId="0" applyFont="1" applyFill="1" applyBorder="1" applyAlignment="1">
      <alignment horizontal="left" vertical="top" wrapText="1"/>
    </xf>
    <xf numFmtId="0" fontId="57" fillId="4" borderId="11" xfId="0" applyFont="1" applyFill="1" applyBorder="1" applyAlignment="1">
      <alignment vertical="top" wrapText="1"/>
    </xf>
    <xf numFmtId="0" fontId="57" fillId="2" borderId="11" xfId="0" applyFont="1" applyFill="1" applyBorder="1" applyAlignment="1">
      <alignment vertical="top" wrapText="1"/>
    </xf>
    <xf numFmtId="0" fontId="57" fillId="0" borderId="11" xfId="0" applyFont="1" applyBorder="1" applyAlignment="1">
      <alignment vertical="top" wrapText="1"/>
    </xf>
    <xf numFmtId="0" fontId="57" fillId="0" borderId="11" xfId="0" applyFont="1" applyBorder="1" applyAlignment="1">
      <alignment horizontal="right" vertical="top" wrapText="1"/>
    </xf>
    <xf numFmtId="168" fontId="57" fillId="0" borderId="11" xfId="0" applyNumberFormat="1" applyFont="1" applyBorder="1" applyAlignment="1">
      <alignment vertical="top" wrapText="1"/>
    </xf>
    <xf numFmtId="168" fontId="57" fillId="5" borderId="11" xfId="0" applyNumberFormat="1" applyFont="1" applyFill="1" applyBorder="1" applyAlignment="1" applyProtection="1">
      <alignment vertical="top" wrapText="1"/>
      <protection locked="0"/>
    </xf>
    <xf numFmtId="168" fontId="57" fillId="6" borderId="11" xfId="0" applyNumberFormat="1" applyFont="1" applyFill="1" applyBorder="1" applyAlignment="1">
      <alignment horizontal="center"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7" fillId="4" borderId="11" xfId="0" applyNumberFormat="1"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21" fillId="0" borderId="11" xfId="0" applyFont="1" applyBorder="1" applyAlignment="1">
      <alignment horizontal="right" vertical="top" wrapText="1"/>
    </xf>
    <xf numFmtId="0" fontId="57" fillId="0" borderId="11" xfId="0" applyFont="1" applyBorder="1" applyAlignment="1" applyProtection="1">
      <alignment horizontal="right" vertical="top" wrapText="1"/>
      <protection locked="0"/>
    </xf>
    <xf numFmtId="0" fontId="55" fillId="0" borderId="0" xfId="0" applyFont="1" applyAlignment="1">
      <alignment horizontal="left" vertical="top"/>
    </xf>
    <xf numFmtId="0" fontId="57" fillId="0" borderId="0" xfId="0" applyFont="1" applyAlignment="1">
      <alignment horizontal="left" vertical="top"/>
    </xf>
    <xf numFmtId="0" fontId="57" fillId="0" borderId="0" xfId="0" applyFont="1" applyAlignment="1">
      <alignment vertical="top" wrapText="1"/>
    </xf>
    <xf numFmtId="0" fontId="57" fillId="0" borderId="0" xfId="0" applyFont="1" applyAlignment="1">
      <alignment vertical="top"/>
    </xf>
    <xf numFmtId="0" fontId="55" fillId="0" borderId="0" xfId="0" applyFont="1" applyAlignment="1">
      <alignment horizontal="right" vertical="top"/>
    </xf>
    <xf numFmtId="0" fontId="57" fillId="2" borderId="0" xfId="0" applyFont="1" applyFill="1" applyAlignment="1">
      <alignment vertical="top" wrapText="1"/>
    </xf>
    <xf numFmtId="0" fontId="55" fillId="0" borderId="0" xfId="0" applyFont="1" applyAlignment="1">
      <alignment vertical="top"/>
    </xf>
    <xf numFmtId="166" fontId="27" fillId="0" borderId="0" xfId="0" applyNumberFormat="1" applyFont="1" applyAlignment="1">
      <alignment horizontal="left"/>
    </xf>
    <xf numFmtId="0" fontId="58" fillId="0" borderId="0" xfId="0" applyFont="1"/>
    <xf numFmtId="0" fontId="18" fillId="0" borderId="0" xfId="244" applyFont="1" applyFill="1" applyBorder="1" applyAlignment="1" applyProtection="1">
      <alignment horizontal="left"/>
    </xf>
    <xf numFmtId="0" fontId="49" fillId="0" borderId="0" xfId="0" applyFont="1"/>
    <xf numFmtId="0" fontId="49" fillId="0" borderId="0" xfId="244" applyFont="1" applyFill="1" applyBorder="1" applyAlignment="1" applyProtection="1">
      <alignment horizontal="left"/>
    </xf>
    <xf numFmtId="0" fontId="24" fillId="3" borderId="11" xfId="0" applyFont="1" applyFill="1" applyBorder="1" applyAlignment="1">
      <alignment vertical="top"/>
    </xf>
    <xf numFmtId="0" fontId="0" fillId="7" borderId="0" xfId="0" applyFill="1"/>
    <xf numFmtId="0" fontId="38" fillId="0" borderId="0" xfId="0" applyFont="1"/>
    <xf numFmtId="0" fontId="60" fillId="0" borderId="0" xfId="0" applyFont="1"/>
    <xf numFmtId="0" fontId="36" fillId="0" borderId="0" xfId="0" applyFont="1" applyAlignment="1">
      <alignment horizontal="center"/>
    </xf>
    <xf numFmtId="0" fontId="36" fillId="0" borderId="0" xfId="0" applyFont="1" applyAlignment="1">
      <alignment horizontal="left"/>
    </xf>
    <xf numFmtId="49" fontId="25" fillId="0" borderId="0" xfId="0" applyNumberFormat="1" applyFont="1" applyAlignment="1">
      <alignment horizontal="center"/>
    </xf>
    <xf numFmtId="0" fontId="52" fillId="0" borderId="0" xfId="0" applyFont="1" applyAlignment="1">
      <alignment horizontal="center"/>
    </xf>
    <xf numFmtId="168" fontId="27" fillId="0" borderId="0" xfId="0" applyNumberFormat="1" applyFont="1" applyAlignment="1">
      <alignment horizontal="center"/>
    </xf>
    <xf numFmtId="168" fontId="37" fillId="0" borderId="0" xfId="0" applyNumberFormat="1" applyFont="1" applyAlignment="1">
      <alignment horizontal="left" vertical="top" wrapText="1"/>
    </xf>
    <xf numFmtId="0" fontId="54" fillId="0" borderId="3" xfId="0" applyFont="1" applyBorder="1"/>
    <xf numFmtId="168" fontId="0" fillId="0" borderId="0" xfId="0" applyNumberFormat="1" applyAlignment="1">
      <alignment horizontal="center"/>
    </xf>
    <xf numFmtId="0" fontId="38" fillId="0" borderId="0" xfId="0" applyFont="1" applyAlignment="1">
      <alignment vertical="top" wrapText="1"/>
    </xf>
    <xf numFmtId="0" fontId="55" fillId="0" borderId="4" xfId="0" applyFont="1" applyBorder="1" applyAlignment="1">
      <alignment horizontal="right"/>
    </xf>
    <xf numFmtId="0" fontId="62" fillId="0" borderId="0" xfId="0" applyFont="1"/>
    <xf numFmtId="3" fontId="27" fillId="0" borderId="0" xfId="0" applyNumberFormat="1" applyFont="1" applyAlignment="1">
      <alignment horizontal="center"/>
    </xf>
    <xf numFmtId="168" fontId="18" fillId="0" borderId="0" xfId="0" applyNumberFormat="1" applyFont="1" applyAlignment="1">
      <alignment horizontal="left" vertical="top"/>
    </xf>
    <xf numFmtId="168" fontId="27" fillId="0" borderId="0" xfId="0" applyNumberFormat="1" applyFont="1" applyAlignment="1">
      <alignment horizontal="left" vertical="top"/>
    </xf>
    <xf numFmtId="0" fontId="57" fillId="0" borderId="11" xfId="0" applyFont="1" applyBorder="1" applyAlignment="1">
      <alignment horizontal="right" vertical="top"/>
    </xf>
    <xf numFmtId="0" fontId="57" fillId="0" borderId="0" xfId="0" applyFont="1" applyAlignment="1">
      <alignment horizontal="right" vertical="top" wrapText="1"/>
    </xf>
    <xf numFmtId="0" fontId="57" fillId="2" borderId="12" xfId="0" applyFont="1" applyFill="1" applyBorder="1" applyAlignment="1">
      <alignment vertical="top" wrapText="1"/>
    </xf>
    <xf numFmtId="0" fontId="57" fillId="0" borderId="14" xfId="0" applyFont="1" applyBorder="1" applyAlignment="1">
      <alignment vertical="top" wrapText="1"/>
    </xf>
    <xf numFmtId="168" fontId="57" fillId="5" borderId="11" xfId="0" applyNumberFormat="1" applyFont="1" applyFill="1" applyBorder="1" applyAlignment="1" applyProtection="1">
      <alignment vertical="top"/>
      <protection locked="0"/>
    </xf>
    <xf numFmtId="0" fontId="57" fillId="2" borderId="11" xfId="0" applyFont="1" applyFill="1" applyBorder="1" applyAlignment="1" applyProtection="1">
      <alignment vertical="top"/>
      <protection locked="0"/>
    </xf>
    <xf numFmtId="0" fontId="57" fillId="0" borderId="11" xfId="0" applyFont="1" applyBorder="1" applyAlignment="1" applyProtection="1">
      <alignment vertical="top"/>
      <protection locked="0"/>
    </xf>
    <xf numFmtId="168" fontId="57" fillId="0" borderId="11" xfId="0" applyNumberFormat="1" applyFont="1" applyBorder="1" applyAlignment="1">
      <alignment vertical="top"/>
    </xf>
    <xf numFmtId="168" fontId="57" fillId="6" borderId="11" xfId="0" applyNumberFormat="1" applyFont="1" applyFill="1" applyBorder="1" applyAlignment="1">
      <alignment horizontal="center" vertical="top"/>
    </xf>
    <xf numFmtId="0" fontId="25" fillId="0" borderId="0" xfId="542" applyFont="1" applyProtection="1">
      <protection locked="0"/>
    </xf>
    <xf numFmtId="0" fontId="18" fillId="0" borderId="0" xfId="539" applyProtection="1"/>
    <xf numFmtId="0" fontId="38" fillId="8" borderId="0" xfId="539" applyFont="1" applyFill="1" applyAlignment="1" applyProtection="1">
      <alignment horizontal="centerContinuous"/>
    </xf>
    <xf numFmtId="0" fontId="25" fillId="0" borderId="0" xfId="543" applyFont="1"/>
    <xf numFmtId="0" fontId="27" fillId="0" borderId="0" xfId="543" applyFont="1" applyAlignment="1">
      <alignment horizontal="left"/>
    </xf>
    <xf numFmtId="0" fontId="27" fillId="0" borderId="15" xfId="0" applyFont="1" applyBorder="1"/>
    <xf numFmtId="2" fontId="41" fillId="0" borderId="11" xfId="0" applyNumberFormat="1" applyFont="1" applyBorder="1"/>
    <xf numFmtId="0" fontId="18" fillId="0" borderId="0" xfId="0" applyFont="1" applyProtection="1">
      <protection locked="0"/>
    </xf>
    <xf numFmtId="0" fontId="65" fillId="0" borderId="0" xfId="0" applyFont="1" applyAlignment="1">
      <alignment horizontal="center"/>
    </xf>
    <xf numFmtId="0" fontId="27" fillId="0" borderId="0" xfId="271"/>
    <xf numFmtId="0" fontId="25" fillId="0" borderId="0" xfId="271" applyFont="1"/>
    <xf numFmtId="0" fontId="27" fillId="0" borderId="0" xfId="271" applyAlignment="1">
      <alignment horizontal="left"/>
    </xf>
    <xf numFmtId="168" fontId="25" fillId="0" borderId="2" xfId="543" applyNumberFormat="1" applyFont="1" applyBorder="1" applyAlignment="1">
      <alignment horizontal="center" vertical="center"/>
    </xf>
    <xf numFmtId="0" fontId="40" fillId="0" borderId="0" xfId="543" applyFont="1" applyAlignment="1">
      <alignment horizontal="right" vertical="top" wrapText="1"/>
    </xf>
    <xf numFmtId="0" fontId="38" fillId="0" borderId="2" xfId="543" applyFont="1" applyBorder="1" applyAlignment="1">
      <alignment horizontal="right" vertical="top" wrapText="1"/>
    </xf>
    <xf numFmtId="0" fontId="23" fillId="0" borderId="0" xfId="0" applyFont="1"/>
    <xf numFmtId="0" fontId="67" fillId="0" borderId="0" xfId="0" applyFont="1"/>
    <xf numFmtId="0" fontId="65" fillId="0" borderId="0" xfId="0" applyFont="1"/>
    <xf numFmtId="0" fontId="38"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5" fillId="0" borderId="0" xfId="0" applyNumberFormat="1" applyFont="1" applyAlignment="1">
      <alignment horizontal="center"/>
    </xf>
    <xf numFmtId="3" fontId="27" fillId="0" borderId="0" xfId="0" applyNumberFormat="1" applyFont="1"/>
    <xf numFmtId="0" fontId="66" fillId="0" borderId="0" xfId="0" applyFont="1"/>
    <xf numFmtId="168" fontId="23" fillId="0" borderId="0" xfId="0" applyNumberFormat="1" applyFont="1"/>
    <xf numFmtId="10" fontId="23" fillId="0" borderId="0" xfId="0" applyNumberFormat="1" applyFont="1" applyAlignment="1">
      <alignment horizontal="center"/>
    </xf>
    <xf numFmtId="3" fontId="69" fillId="0" borderId="0" xfId="0" applyNumberFormat="1" applyFont="1"/>
    <xf numFmtId="3" fontId="23" fillId="0" borderId="0" xfId="0" applyNumberFormat="1" applyFont="1"/>
    <xf numFmtId="168" fontId="66" fillId="0" borderId="0" xfId="0" applyNumberFormat="1" applyFont="1"/>
    <xf numFmtId="168" fontId="66" fillId="0" borderId="0" xfId="0" applyNumberFormat="1" applyFont="1" applyAlignment="1">
      <alignment horizontal="center"/>
    </xf>
    <xf numFmtId="0" fontId="23" fillId="5" borderId="0" xfId="0" applyFont="1" applyFill="1" applyAlignment="1">
      <alignment horizontal="left"/>
    </xf>
    <xf numFmtId="0" fontId="23" fillId="5" borderId="0" xfId="0" applyFont="1" applyFill="1"/>
    <xf numFmtId="10" fontId="23" fillId="0" borderId="0" xfId="0" applyNumberFormat="1" applyFont="1"/>
    <xf numFmtId="172" fontId="23" fillId="0" borderId="0" xfId="0" applyNumberFormat="1" applyFont="1"/>
    <xf numFmtId="172" fontId="23" fillId="0" borderId="0" xfId="0" applyNumberFormat="1" applyFont="1" applyAlignment="1">
      <alignment horizontal="center"/>
    </xf>
    <xf numFmtId="0" fontId="23" fillId="0" borderId="6" xfId="0" applyFont="1" applyBorder="1"/>
    <xf numFmtId="10" fontId="23" fillId="0" borderId="6" xfId="0" applyNumberFormat="1" applyFont="1" applyBorder="1" applyAlignment="1">
      <alignment horizontal="center"/>
    </xf>
    <xf numFmtId="3" fontId="23" fillId="0" borderId="6" xfId="0" applyNumberFormat="1" applyFont="1" applyBorder="1"/>
    <xf numFmtId="10" fontId="27" fillId="0" borderId="0" xfId="0" applyNumberFormat="1" applyFont="1" applyAlignment="1">
      <alignment horizontal="center"/>
    </xf>
    <xf numFmtId="3" fontId="27" fillId="0" borderId="0" xfId="0" applyNumberFormat="1" applyFont="1" applyAlignment="1">
      <alignment vertical="top"/>
    </xf>
    <xf numFmtId="10" fontId="25" fillId="0" borderId="0" xfId="0" applyNumberFormat="1" applyFont="1" applyAlignment="1">
      <alignment horizontal="center"/>
    </xf>
    <xf numFmtId="0" fontId="65" fillId="0" borderId="6" xfId="0" applyFont="1" applyBorder="1" applyAlignment="1">
      <alignment horizontal="center"/>
    </xf>
    <xf numFmtId="172" fontId="27" fillId="0" borderId="0" xfId="0" applyNumberFormat="1" applyFont="1" applyAlignment="1">
      <alignment horizontal="center"/>
    </xf>
    <xf numFmtId="10" fontId="70" fillId="0" borderId="0" xfId="0" applyNumberFormat="1" applyFont="1" applyAlignment="1">
      <alignment horizontal="center"/>
    </xf>
    <xf numFmtId="0" fontId="27" fillId="9" borderId="6" xfId="0" applyFont="1" applyFill="1" applyBorder="1"/>
    <xf numFmtId="0" fontId="27" fillId="0" borderId="4" xfId="271" applyBorder="1"/>
    <xf numFmtId="0" fontId="27" fillId="0" borderId="6" xfId="271" applyBorder="1"/>
    <xf numFmtId="0" fontId="27" fillId="0" borderId="1" xfId="0" applyFont="1" applyBorder="1"/>
    <xf numFmtId="168" fontId="27" fillId="0" borderId="3" xfId="0" applyNumberFormat="1" applyFont="1" applyBorder="1" applyAlignment="1">
      <alignment vertical="top"/>
    </xf>
    <xf numFmtId="168" fontId="27" fillId="0" borderId="4" xfId="0" applyNumberFormat="1" applyFont="1" applyBorder="1" applyAlignment="1">
      <alignment vertical="top"/>
    </xf>
    <xf numFmtId="168" fontId="27" fillId="0" borderId="5" xfId="0" applyNumberFormat="1" applyFont="1" applyBorder="1" applyAlignment="1">
      <alignment vertical="top"/>
    </xf>
    <xf numFmtId="168" fontId="27" fillId="0" borderId="8" xfId="0" applyNumberFormat="1" applyFont="1" applyBorder="1" applyAlignment="1">
      <alignment vertical="top"/>
    </xf>
    <xf numFmtId="168" fontId="27" fillId="0" borderId="0" xfId="0" applyNumberFormat="1" applyFont="1" applyAlignment="1">
      <alignment vertical="top"/>
    </xf>
    <xf numFmtId="0" fontId="27" fillId="0" borderId="0" xfId="0" applyFont="1" applyAlignment="1">
      <alignment horizontal="right" vertical="top"/>
    </xf>
    <xf numFmtId="0" fontId="27"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7" fillId="5" borderId="4" xfId="0" applyFont="1" applyFill="1" applyBorder="1" applyAlignment="1" applyProtection="1">
      <alignment horizontal="left" vertical="top"/>
      <protection locked="0"/>
    </xf>
    <xf numFmtId="0" fontId="27" fillId="5" borderId="5" xfId="0" applyFont="1" applyFill="1" applyBorder="1" applyAlignment="1" applyProtection="1">
      <alignment horizontal="left" vertical="top"/>
      <protection locked="0"/>
    </xf>
    <xf numFmtId="4" fontId="52" fillId="0" borderId="0" xfId="0" applyNumberFormat="1" applyFont="1" applyAlignment="1">
      <alignment horizontal="center"/>
    </xf>
    <xf numFmtId="0" fontId="37" fillId="0" borderId="1" xfId="543" applyFont="1" applyBorder="1" applyAlignment="1">
      <alignment horizontal="left" vertical="top" wrapText="1"/>
    </xf>
    <xf numFmtId="0" fontId="37" fillId="0" borderId="12" xfId="543" applyFont="1" applyBorder="1" applyAlignment="1">
      <alignment horizontal="center" vertical="top" wrapText="1"/>
    </xf>
    <xf numFmtId="0" fontId="37" fillId="0" borderId="8" xfId="543" applyFont="1" applyBorder="1" applyAlignment="1">
      <alignment horizontal="left" vertical="top" wrapText="1"/>
    </xf>
    <xf numFmtId="0" fontId="32" fillId="3" borderId="4" xfId="271" applyFont="1" applyFill="1" applyBorder="1" applyAlignment="1">
      <alignment vertical="top" wrapText="1"/>
    </xf>
    <xf numFmtId="0" fontId="24" fillId="3" borderId="11" xfId="271" applyFont="1" applyFill="1" applyBorder="1" applyAlignment="1">
      <alignment vertical="top"/>
    </xf>
    <xf numFmtId="0" fontId="25" fillId="0" borderId="9" xfId="271" applyFont="1" applyBorder="1" applyAlignment="1">
      <alignment horizontal="center" wrapText="1"/>
    </xf>
    <xf numFmtId="0" fontId="32" fillId="3" borderId="4" xfId="271" applyFont="1" applyFill="1" applyBorder="1" applyAlignment="1" applyProtection="1">
      <alignment vertical="top" wrapText="1"/>
      <protection locked="0"/>
    </xf>
    <xf numFmtId="0" fontId="32" fillId="3" borderId="5" xfId="271" applyFont="1" applyFill="1" applyBorder="1" applyAlignment="1" applyProtection="1">
      <alignment vertical="top" wrapText="1"/>
      <protection locked="0"/>
    </xf>
    <xf numFmtId="0" fontId="25" fillId="0" borderId="13" xfId="271" applyFont="1" applyBorder="1" applyAlignment="1">
      <alignment horizontal="center" wrapText="1"/>
    </xf>
    <xf numFmtId="0" fontId="50" fillId="2" borderId="11" xfId="271" applyFont="1" applyFill="1" applyBorder="1" applyAlignment="1">
      <alignment horizontal="left" vertical="top" wrapText="1"/>
    </xf>
    <xf numFmtId="0" fontId="27" fillId="0" borderId="11" xfId="271" applyBorder="1" applyAlignment="1" applyProtection="1">
      <alignment vertical="top" wrapText="1"/>
      <protection locked="0"/>
    </xf>
    <xf numFmtId="168" fontId="27" fillId="5" borderId="11" xfId="271" applyNumberFormat="1" applyFill="1" applyBorder="1" applyAlignment="1" applyProtection="1">
      <alignment vertical="top" wrapText="1"/>
      <protection locked="0"/>
    </xf>
    <xf numFmtId="0" fontId="27" fillId="5" borderId="3" xfId="271" applyFill="1" applyBorder="1" applyAlignment="1" applyProtection="1">
      <alignment vertical="top" wrapText="1"/>
      <protection locked="0"/>
    </xf>
    <xf numFmtId="0" fontId="27" fillId="5" borderId="11" xfId="271" applyFill="1" applyBorder="1" applyAlignment="1" applyProtection="1">
      <alignment vertical="top" wrapText="1"/>
      <protection locked="0"/>
    </xf>
    <xf numFmtId="0" fontId="27" fillId="0" borderId="11" xfId="271" applyBorder="1" applyAlignment="1">
      <alignment horizontal="right" vertical="top" wrapText="1"/>
    </xf>
    <xf numFmtId="168" fontId="27" fillId="0" borderId="11" xfId="271" applyNumberFormat="1" applyBorder="1" applyAlignment="1">
      <alignment vertical="top" wrapText="1"/>
    </xf>
    <xf numFmtId="0" fontId="25" fillId="0" borderId="11" xfId="271" applyFont="1" applyBorder="1" applyAlignment="1">
      <alignment horizontal="right" vertical="top" wrapText="1"/>
    </xf>
    <xf numFmtId="0" fontId="27" fillId="5" borderId="11" xfId="271" applyFill="1" applyBorder="1" applyAlignment="1" applyProtection="1">
      <alignment horizontal="right" vertical="top" wrapText="1"/>
      <protection locked="0"/>
    </xf>
    <xf numFmtId="168" fontId="25" fillId="0" borderId="11" xfId="271" applyNumberFormat="1" applyFont="1" applyBorder="1" applyAlignment="1">
      <alignment vertical="top" wrapText="1"/>
    </xf>
    <xf numFmtId="0" fontId="35" fillId="0" borderId="11" xfId="271" applyFont="1" applyBorder="1" applyAlignment="1">
      <alignment horizontal="right" vertical="top" wrapText="1"/>
    </xf>
    <xf numFmtId="0" fontId="32" fillId="0" borderId="0" xfId="271" applyFont="1" applyAlignment="1" applyProtection="1">
      <alignment vertical="top" wrapText="1"/>
      <protection locked="0"/>
    </xf>
    <xf numFmtId="0" fontId="27" fillId="0" borderId="5" xfId="271" applyBorder="1" applyAlignment="1" applyProtection="1">
      <alignment vertical="top" wrapText="1"/>
      <protection locked="0"/>
    </xf>
    <xf numFmtId="0" fontId="25" fillId="0" borderId="3" xfId="271" applyFont="1" applyBorder="1" applyAlignment="1">
      <alignment horizontal="left" vertical="top"/>
    </xf>
    <xf numFmtId="0" fontId="27" fillId="0" borderId="4" xfId="271" applyBorder="1" applyAlignment="1" applyProtection="1">
      <alignment horizontal="left" vertical="top"/>
      <protection locked="0"/>
    </xf>
    <xf numFmtId="0" fontId="27" fillId="0" borderId="4" xfId="271" applyBorder="1" applyAlignment="1" applyProtection="1">
      <alignment vertical="top" wrapText="1"/>
      <protection locked="0"/>
    </xf>
    <xf numFmtId="0" fontId="32" fillId="0" borderId="0" xfId="271" applyFont="1" applyAlignment="1">
      <alignment vertical="top" wrapText="1"/>
    </xf>
    <xf numFmtId="0" fontId="27" fillId="0" borderId="4" xfId="271" applyBorder="1" applyAlignment="1">
      <alignment vertical="top" wrapText="1"/>
    </xf>
    <xf numFmtId="0" fontId="50" fillId="2" borderId="11" xfId="271" applyFont="1" applyFill="1" applyBorder="1" applyAlignment="1" applyProtection="1">
      <alignment horizontal="left" vertical="top" wrapText="1"/>
      <protection locked="0"/>
    </xf>
    <xf numFmtId="0" fontId="54" fillId="0" borderId="11" xfId="0" applyFont="1" applyBorder="1" applyAlignment="1">
      <alignment horizontal="right" vertical="top" wrapText="1"/>
    </xf>
    <xf numFmtId="0" fontId="27" fillId="8" borderId="0" xfId="542" quotePrefix="1" applyFont="1" applyFill="1" applyAlignment="1">
      <alignment horizontal="left"/>
    </xf>
    <xf numFmtId="0" fontId="27" fillId="8" borderId="0" xfId="542" applyFont="1" applyFill="1"/>
    <xf numFmtId="0" fontId="35" fillId="8" borderId="0" xfId="542" applyFont="1" applyFill="1"/>
    <xf numFmtId="0" fontId="54" fillId="0" borderId="11" xfId="271" applyFont="1" applyBorder="1" applyAlignment="1">
      <alignment horizontal="right" vertical="top"/>
    </xf>
    <xf numFmtId="0" fontId="54" fillId="0" borderId="11" xfId="271" applyFont="1" applyBorder="1" applyAlignment="1">
      <alignment horizontal="right" vertical="top" wrapText="1"/>
    </xf>
    <xf numFmtId="0" fontId="27" fillId="0" borderId="0" xfId="271" applyAlignment="1">
      <alignment horizontal="left" vertical="top"/>
    </xf>
    <xf numFmtId="0" fontId="25" fillId="0" borderId="0" xfId="271" applyFont="1" applyAlignment="1">
      <alignment horizontal="right"/>
    </xf>
    <xf numFmtId="0" fontId="26" fillId="0" borderId="0" xfId="271" applyFont="1" applyAlignment="1">
      <alignment horizontal="center"/>
    </xf>
    <xf numFmtId="5" fontId="27" fillId="0" borderId="0" xfId="542" applyNumberFormat="1" applyFont="1"/>
    <xf numFmtId="1" fontId="27" fillId="0" borderId="15" xfId="271" applyNumberFormat="1" applyBorder="1"/>
    <xf numFmtId="1" fontId="27" fillId="0" borderId="14" xfId="271" applyNumberFormat="1" applyBorder="1"/>
    <xf numFmtId="0" fontId="26" fillId="0" borderId="6" xfId="271" applyFont="1" applyBorder="1" applyAlignment="1">
      <alignment horizontal="left"/>
    </xf>
    <xf numFmtId="0" fontId="26" fillId="0" borderId="6" xfId="271" applyFont="1" applyBorder="1" applyAlignment="1">
      <alignment horizontal="right"/>
    </xf>
    <xf numFmtId="165" fontId="27" fillId="0" borderId="0" xfId="271" applyNumberFormat="1"/>
    <xf numFmtId="170" fontId="27" fillId="0" borderId="14" xfId="271" applyNumberFormat="1" applyBorder="1"/>
    <xf numFmtId="1" fontId="25" fillId="0" borderId="11" xfId="271" applyNumberFormat="1" applyFont="1" applyBorder="1"/>
    <xf numFmtId="165" fontId="25" fillId="0" borderId="11" xfId="271" applyNumberFormat="1" applyFont="1" applyBorder="1"/>
    <xf numFmtId="3" fontId="57" fillId="0" borderId="11" xfId="0" applyNumberFormat="1" applyFont="1" applyBorder="1" applyAlignment="1">
      <alignment vertical="top" wrapText="1"/>
    </xf>
    <xf numFmtId="166" fontId="27" fillId="0" borderId="0" xfId="0" applyNumberFormat="1" applyFont="1"/>
    <xf numFmtId="0" fontId="0" fillId="0" borderId="0" xfId="0" applyProtection="1">
      <protection locked="0"/>
    </xf>
    <xf numFmtId="0" fontId="23" fillId="0" borderId="0" xfId="0" applyFont="1" applyProtection="1">
      <protection locked="0"/>
    </xf>
    <xf numFmtId="0" fontId="23" fillId="0" borderId="0" xfId="271" applyFont="1" applyProtection="1">
      <protection locked="0"/>
    </xf>
    <xf numFmtId="168" fontId="23" fillId="0" borderId="0" xfId="271" applyNumberFormat="1" applyFont="1" applyProtection="1">
      <protection locked="0"/>
    </xf>
    <xf numFmtId="0" fontId="31" fillId="0" borderId="1" xfId="0" applyFont="1" applyBorder="1"/>
    <xf numFmtId="0" fontId="18" fillId="0" borderId="2" xfId="0" applyFont="1" applyBorder="1" applyAlignment="1">
      <alignment horizontal="left"/>
    </xf>
    <xf numFmtId="0" fontId="18" fillId="0" borderId="2" xfId="0" applyFont="1" applyBorder="1"/>
    <xf numFmtId="0" fontId="31" fillId="0" borderId="8" xfId="0" applyFont="1" applyBorder="1"/>
    <xf numFmtId="0" fontId="31" fillId="0" borderId="9" xfId="0" applyFont="1" applyBorder="1"/>
    <xf numFmtId="0" fontId="25" fillId="0" borderId="0" xfId="0" applyFont="1" applyAlignment="1">
      <alignment horizontal="left" vertical="top"/>
    </xf>
    <xf numFmtId="0" fontId="75" fillId="0" borderId="0" xfId="0" applyFont="1" applyAlignment="1">
      <alignment vertical="center" wrapText="1"/>
    </xf>
    <xf numFmtId="0" fontId="75" fillId="0" borderId="0" xfId="0" applyFont="1" applyAlignment="1">
      <alignment vertical="center"/>
    </xf>
    <xf numFmtId="0" fontId="75" fillId="0" borderId="0" xfId="0" applyFont="1" applyAlignment="1">
      <alignment horizontal="left" vertical="center" indent="1"/>
    </xf>
    <xf numFmtId="172" fontId="27" fillId="5" borderId="0" xfId="0" applyNumberFormat="1" applyFont="1" applyFill="1" applyAlignment="1">
      <alignment horizontal="center"/>
    </xf>
    <xf numFmtId="0" fontId="76" fillId="0" borderId="0" xfId="0" applyFont="1" applyAlignment="1">
      <alignment horizontal="left" vertical="center"/>
    </xf>
    <xf numFmtId="0" fontId="37" fillId="0" borderId="2" xfId="543" applyFont="1" applyBorder="1" applyAlignment="1">
      <alignment horizontal="center" vertical="top" wrapText="1"/>
    </xf>
    <xf numFmtId="49" fontId="48" fillId="0" borderId="0" xfId="0" applyNumberFormat="1" applyFont="1" applyAlignment="1">
      <alignment horizontal="center"/>
    </xf>
    <xf numFmtId="0" fontId="54" fillId="0" borderId="0" xfId="0" applyFont="1"/>
    <xf numFmtId="5" fontId="80" fillId="0" borderId="11" xfId="541" applyNumberFormat="1" applyFont="1" applyBorder="1" applyAlignment="1" applyProtection="1">
      <alignment horizontal="center"/>
    </xf>
    <xf numFmtId="5" fontId="80" fillId="42" borderId="11" xfId="541" applyNumberFormat="1" applyFont="1" applyFill="1" applyBorder="1" applyAlignment="1" applyProtection="1">
      <alignment horizontal="center"/>
    </xf>
    <xf numFmtId="5" fontId="80" fillId="2" borderId="11" xfId="541" applyNumberFormat="1" applyFont="1" applyFill="1" applyBorder="1" applyAlignment="1" applyProtection="1">
      <alignment horizontal="center"/>
    </xf>
    <xf numFmtId="0" fontId="54" fillId="0" borderId="0" xfId="0" applyFont="1" applyAlignment="1">
      <alignment vertical="top" wrapText="1"/>
    </xf>
    <xf numFmtId="0" fontId="54" fillId="0" borderId="0" xfId="0" applyFont="1" applyAlignment="1">
      <alignment vertical="top"/>
    </xf>
    <xf numFmtId="0" fontId="54" fillId="2" borderId="0" xfId="0" applyFont="1" applyFill="1" applyAlignment="1">
      <alignment vertical="top" wrapText="1"/>
    </xf>
    <xf numFmtId="0" fontId="82" fillId="0" borderId="13" xfId="0" applyFont="1" applyBorder="1" applyAlignment="1">
      <alignment vertical="top" wrapText="1"/>
    </xf>
    <xf numFmtId="0" fontId="32" fillId="0" borderId="0" xfId="0" applyFont="1" applyAlignment="1">
      <alignment vertical="top" wrapText="1"/>
    </xf>
    <xf numFmtId="0" fontId="82" fillId="2" borderId="13" xfId="0" applyFont="1" applyFill="1" applyBorder="1" applyAlignment="1">
      <alignment vertical="top" wrapText="1"/>
    </xf>
    <xf numFmtId="0" fontId="82" fillId="0" borderId="0" xfId="0" applyFont="1" applyAlignment="1">
      <alignment vertical="top" wrapText="1"/>
    </xf>
    <xf numFmtId="0" fontId="82" fillId="2" borderId="0" xfId="0" applyFont="1" applyFill="1" applyAlignment="1">
      <alignment vertical="top" wrapText="1"/>
    </xf>
    <xf numFmtId="0" fontId="54" fillId="0" borderId="0" xfId="0" applyFont="1" applyAlignment="1">
      <alignment horizontal="right" vertical="top" wrapText="1"/>
    </xf>
    <xf numFmtId="168" fontId="54" fillId="5" borderId="6" xfId="0" applyNumberFormat="1" applyFont="1" applyFill="1" applyBorder="1" applyAlignment="1" applyProtection="1">
      <alignment horizontal="right" vertical="top" wrapText="1"/>
      <protection locked="0"/>
    </xf>
    <xf numFmtId="168" fontId="54" fillId="0" borderId="6" xfId="0" applyNumberFormat="1" applyFont="1" applyBorder="1" applyAlignment="1">
      <alignment horizontal="right" vertical="top" wrapText="1"/>
    </xf>
    <xf numFmtId="0" fontId="25" fillId="0" borderId="0" xfId="0" applyFont="1" applyAlignment="1">
      <alignment horizontal="left" vertical="top" wrapText="1"/>
    </xf>
    <xf numFmtId="0" fontId="27" fillId="0" borderId="0" xfId="0" applyFont="1" applyAlignment="1">
      <alignment horizontal="right" vertical="top" wrapText="1"/>
    </xf>
    <xf numFmtId="10" fontId="27" fillId="5" borderId="6" xfId="0" applyNumberFormat="1" applyFont="1" applyFill="1" applyBorder="1" applyAlignment="1" applyProtection="1">
      <alignment horizontal="center" vertical="top" wrapText="1"/>
      <protection locked="0"/>
    </xf>
    <xf numFmtId="0" fontId="65" fillId="0" borderId="0" xfId="0" applyFont="1" applyAlignment="1">
      <alignment horizontal="left" vertical="center"/>
    </xf>
    <xf numFmtId="0" fontId="25" fillId="0" borderId="2" xfId="543" applyFont="1" applyBorder="1" applyAlignment="1">
      <alignment horizontal="center"/>
    </xf>
    <xf numFmtId="0" fontId="0" fillId="0" borderId="0" xfId="543" applyFont="1"/>
    <xf numFmtId="0" fontId="19" fillId="0" borderId="0" xfId="244" quotePrefix="1" applyAlignment="1" applyProtection="1">
      <alignment horizontal="left"/>
    </xf>
    <xf numFmtId="168" fontId="54"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106" fillId="0" borderId="0" xfId="0" applyFont="1" applyAlignment="1">
      <alignment horizontal="left" vertical="top"/>
    </xf>
    <xf numFmtId="0" fontId="107" fillId="0" borderId="0" xfId="0" applyFont="1" applyAlignment="1">
      <alignment horizontal="left" vertical="top"/>
    </xf>
    <xf numFmtId="0" fontId="75" fillId="0" borderId="0" xfId="0" applyFont="1"/>
    <xf numFmtId="0" fontId="25" fillId="8" borderId="11" xfId="542" applyFont="1" applyFill="1" applyBorder="1" applyAlignment="1">
      <alignment horizontal="left"/>
    </xf>
    <xf numFmtId="0" fontId="25" fillId="8" borderId="11" xfId="542" applyFont="1" applyFill="1" applyBorder="1" applyAlignment="1">
      <alignment horizontal="center"/>
    </xf>
    <xf numFmtId="0" fontId="64" fillId="8" borderId="11" xfId="542" applyFont="1" applyFill="1" applyBorder="1" applyAlignment="1">
      <alignment horizontal="left"/>
    </xf>
    <xf numFmtId="0" fontId="64" fillId="0" borderId="11" xfId="542" applyFont="1" applyBorder="1" applyAlignment="1">
      <alignment horizontal="left"/>
    </xf>
    <xf numFmtId="0" fontId="25" fillId="0" borderId="0" xfId="271" applyFont="1" applyAlignment="1" applyProtection="1">
      <alignment horizontal="center" wrapText="1"/>
      <protection locked="0"/>
    </xf>
    <xf numFmtId="0" fontId="27" fillId="0" borderId="0" xfId="271" applyAlignment="1" applyProtection="1">
      <alignment vertical="top" wrapText="1"/>
      <protection locked="0"/>
    </xf>
    <xf numFmtId="0" fontId="25" fillId="0" borderId="0" xfId="271" applyFont="1" applyAlignment="1" applyProtection="1">
      <alignment vertical="top" wrapText="1"/>
      <protection locked="0"/>
    </xf>
    <xf numFmtId="0" fontId="18" fillId="0" borderId="0" xfId="0" applyFont="1" applyAlignment="1">
      <alignment horizontal="center"/>
    </xf>
    <xf numFmtId="0" fontId="32" fillId="0" borderId="8" xfId="569" applyFont="1" applyBorder="1" applyAlignment="1">
      <alignment vertical="top" wrapText="1"/>
    </xf>
    <xf numFmtId="0" fontId="32" fillId="0" borderId="0" xfId="569" applyFont="1" applyAlignment="1">
      <alignment vertical="top" wrapText="1"/>
    </xf>
    <xf numFmtId="0" fontId="56" fillId="2" borderId="11" xfId="569" applyFont="1" applyFill="1" applyBorder="1" applyAlignment="1">
      <alignment horizontal="left" vertical="top" wrapText="1"/>
    </xf>
    <xf numFmtId="6" fontId="54" fillId="4" borderId="11" xfId="569" applyNumberFormat="1" applyFont="1" applyFill="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6" fontId="54" fillId="0" borderId="11" xfId="569" applyNumberFormat="1" applyFont="1" applyBorder="1" applyAlignment="1">
      <alignment vertical="top" wrapText="1"/>
    </xf>
    <xf numFmtId="6" fontId="54" fillId="5" borderId="11" xfId="569" applyNumberFormat="1" applyFont="1" applyFill="1" applyBorder="1" applyAlignment="1" applyProtection="1">
      <alignment vertical="top" wrapText="1"/>
      <protection locked="0"/>
    </xf>
    <xf numFmtId="6" fontId="54" fillId="6" borderId="11" xfId="569" applyNumberFormat="1" applyFont="1" applyFill="1" applyBorder="1" applyAlignment="1">
      <alignment horizontal="center" vertical="top" wrapText="1"/>
    </xf>
    <xf numFmtId="0" fontId="54" fillId="0" borderId="11" xfId="569" applyFont="1" applyBorder="1" applyAlignment="1">
      <alignment horizontal="right" vertical="top" wrapText="1"/>
    </xf>
    <xf numFmtId="0" fontId="55" fillId="0" borderId="11" xfId="569" applyFont="1" applyBorder="1" applyAlignment="1">
      <alignment horizontal="right" vertical="top" wrapText="1"/>
    </xf>
    <xf numFmtId="0" fontId="54" fillId="0" borderId="11" xfId="569" applyFont="1" applyBorder="1" applyAlignment="1">
      <alignment horizontal="right" vertical="top"/>
    </xf>
    <xf numFmtId="6" fontId="55" fillId="0" borderId="11" xfId="569" applyNumberFormat="1" applyFont="1" applyBorder="1" applyAlignment="1">
      <alignment vertical="top" wrapText="1"/>
    </xf>
    <xf numFmtId="0" fontId="55" fillId="0" borderId="8" xfId="569" applyFont="1" applyBorder="1" applyAlignment="1">
      <alignment vertical="top" wrapText="1"/>
    </xf>
    <xf numFmtId="0" fontId="55" fillId="0" borderId="0" xfId="569" applyFont="1" applyAlignment="1">
      <alignment vertical="top" wrapText="1"/>
    </xf>
    <xf numFmtId="0" fontId="21" fillId="0" borderId="11" xfId="569" applyFont="1" applyBorder="1" applyAlignment="1">
      <alignment horizontal="right" vertical="top" wrapText="1"/>
    </xf>
    <xf numFmtId="0" fontId="55" fillId="0" borderId="0" xfId="569" applyFont="1" applyAlignment="1">
      <alignment horizontal="left" vertical="top"/>
    </xf>
    <xf numFmtId="6" fontId="54" fillId="0" borderId="0" xfId="569" applyNumberFormat="1" applyFont="1" applyAlignment="1">
      <alignment horizontal="left" vertical="top"/>
    </xf>
    <xf numFmtId="0" fontId="107" fillId="0" borderId="0" xfId="569" applyFont="1" applyAlignment="1">
      <alignment horizontal="left" vertical="top"/>
    </xf>
    <xf numFmtId="6" fontId="54" fillId="0" borderId="0" xfId="569" applyNumberFormat="1" applyFont="1" applyAlignment="1">
      <alignment vertical="top" wrapText="1"/>
    </xf>
    <xf numFmtId="0" fontId="54" fillId="0" borderId="0" xfId="569" applyFont="1" applyAlignment="1">
      <alignment horizontal="left" vertical="top"/>
    </xf>
    <xf numFmtId="0" fontId="54" fillId="0" borderId="12" xfId="569" applyFont="1" applyBorder="1" applyAlignment="1">
      <alignment vertical="top" wrapText="1"/>
    </xf>
    <xf numFmtId="0" fontId="25" fillId="0" borderId="0" xfId="569" applyFont="1" applyAlignment="1">
      <alignment horizontal="left" vertical="top"/>
    </xf>
    <xf numFmtId="0" fontId="110" fillId="0" borderId="0" xfId="569" applyFont="1" applyAlignment="1">
      <alignment horizontal="left" vertical="top"/>
    </xf>
    <xf numFmtId="0" fontId="65" fillId="0" borderId="0" xfId="569" applyFont="1" applyAlignment="1">
      <alignment horizontal="left" vertical="center"/>
    </xf>
    <xf numFmtId="0" fontId="33" fillId="0" borderId="0" xfId="569" applyFont="1" applyAlignment="1">
      <alignment vertical="top" wrapText="1"/>
    </xf>
    <xf numFmtId="0" fontId="33" fillId="0" borderId="12" xfId="569" applyFont="1" applyBorder="1" applyAlignment="1">
      <alignment vertical="top" wrapText="1"/>
    </xf>
    <xf numFmtId="0" fontId="33" fillId="0" borderId="8" xfId="569" applyFont="1" applyBorder="1" applyAlignment="1">
      <alignment vertical="top" wrapText="1"/>
    </xf>
    <xf numFmtId="0" fontId="54" fillId="0" borderId="0" xfId="569" applyFont="1" applyAlignment="1">
      <alignment vertical="top"/>
    </xf>
    <xf numFmtId="168" fontId="54" fillId="0" borderId="0" xfId="569" applyNumberFormat="1" applyFont="1" applyAlignment="1" applyProtection="1">
      <alignment horizontal="right" vertical="top" wrapText="1"/>
      <protection locked="0"/>
    </xf>
    <xf numFmtId="0" fontId="18" fillId="0" borderId="0" xfId="569" applyAlignment="1">
      <alignment vertical="top" wrapText="1"/>
    </xf>
    <xf numFmtId="0" fontId="18" fillId="0" borderId="0" xfId="569" applyAlignment="1">
      <alignment vertical="top"/>
    </xf>
    <xf numFmtId="0" fontId="54" fillId="0" borderId="0" xfId="569" applyFont="1" applyAlignment="1">
      <alignment horizontal="right" vertical="top" wrapText="1"/>
    </xf>
    <xf numFmtId="0" fontId="25" fillId="0" borderId="0" xfId="569" applyFont="1" applyAlignment="1">
      <alignment horizontal="left" vertical="top" wrapText="1"/>
    </xf>
    <xf numFmtId="168" fontId="54" fillId="0" borderId="0" xfId="569" applyNumberFormat="1" applyFont="1" applyAlignment="1">
      <alignment horizontal="right" vertical="top" wrapText="1"/>
    </xf>
    <xf numFmtId="0" fontId="18" fillId="0" borderId="0" xfId="569" applyAlignment="1" applyProtection="1">
      <alignment horizontal="left" vertical="top" wrapText="1"/>
      <protection locked="0"/>
    </xf>
    <xf numFmtId="0" fontId="18" fillId="0" borderId="0" xfId="569" applyAlignment="1">
      <alignment horizontal="right" vertical="top" wrapText="1"/>
    </xf>
    <xf numFmtId="0" fontId="18" fillId="0" borderId="0" xfId="569" applyAlignment="1">
      <alignment horizontal="left" vertical="top"/>
    </xf>
    <xf numFmtId="0" fontId="82" fillId="0" borderId="0" xfId="569" applyFont="1" applyAlignment="1">
      <alignment vertical="top" wrapText="1"/>
    </xf>
    <xf numFmtId="0" fontId="82" fillId="0" borderId="12" xfId="569" applyFont="1" applyBorder="1" applyAlignment="1">
      <alignment vertical="top" wrapText="1"/>
    </xf>
    <xf numFmtId="0" fontId="82" fillId="0" borderId="8" xfId="569" applyFont="1" applyBorder="1" applyAlignment="1">
      <alignment vertical="top" wrapText="1"/>
    </xf>
    <xf numFmtId="0" fontId="32" fillId="0" borderId="0" xfId="569" applyFont="1" applyAlignment="1">
      <alignment horizontal="right" vertical="top" wrapText="1"/>
    </xf>
    <xf numFmtId="0" fontId="82" fillId="0" borderId="0" xfId="569" applyFont="1" applyAlignment="1">
      <alignment horizontal="right" vertical="top" wrapText="1"/>
    </xf>
    <xf numFmtId="0" fontId="55" fillId="0" borderId="3" xfId="569" applyFont="1" applyBorder="1" applyAlignment="1">
      <alignment horizontal="left"/>
    </xf>
    <xf numFmtId="0" fontId="55" fillId="0" borderId="13" xfId="569" applyFont="1" applyBorder="1" applyAlignment="1">
      <alignment horizontal="center" wrapText="1"/>
    </xf>
    <xf numFmtId="0" fontId="55" fillId="0" borderId="8" xfId="569" applyFont="1" applyBorder="1" applyAlignment="1">
      <alignment horizontal="center" wrapText="1"/>
    </xf>
    <xf numFmtId="0" fontId="55" fillId="0" borderId="0" xfId="569" applyFont="1" applyAlignment="1">
      <alignment horizontal="center" wrapText="1"/>
    </xf>
    <xf numFmtId="0" fontId="18" fillId="0" borderId="0" xfId="569"/>
    <xf numFmtId="0" fontId="24" fillId="0" borderId="0" xfId="569" applyFont="1" applyAlignment="1">
      <alignment horizontal="center" vertical="center"/>
    </xf>
    <xf numFmtId="0" fontId="25" fillId="0" borderId="0" xfId="569" applyFont="1"/>
    <xf numFmtId="0" fontId="18" fillId="0" borderId="1" xfId="569" applyBorder="1"/>
    <xf numFmtId="0" fontId="18" fillId="0" borderId="2" xfId="569" applyBorder="1"/>
    <xf numFmtId="0" fontId="18" fillId="0" borderId="8" xfId="569" applyBorder="1"/>
    <xf numFmtId="0" fontId="18" fillId="0" borderId="9" xfId="569" applyBorder="1"/>
    <xf numFmtId="0" fontId="18" fillId="0" borderId="6" xfId="569" applyBorder="1"/>
    <xf numFmtId="0" fontId="26" fillId="0" borderId="0" xfId="569" applyFont="1"/>
    <xf numFmtId="0" fontId="18" fillId="0" borderId="7" xfId="569" applyBorder="1"/>
    <xf numFmtId="0" fontId="18" fillId="0" borderId="12" xfId="569" applyBorder="1"/>
    <xf numFmtId="0" fontId="18" fillId="0" borderId="10" xfId="569" applyBorder="1"/>
    <xf numFmtId="0" fontId="26" fillId="0" borderId="0" xfId="569" applyFont="1" applyAlignment="1">
      <alignment vertical="top" wrapText="1"/>
    </xf>
    <xf numFmtId="0" fontId="18" fillId="0" borderId="0" xfId="569" applyAlignment="1">
      <alignment horizontal="right"/>
    </xf>
    <xf numFmtId="0" fontId="18" fillId="0" borderId="0" xfId="569" applyAlignment="1">
      <alignment wrapText="1"/>
    </xf>
    <xf numFmtId="0" fontId="18" fillId="0" borderId="0" xfId="569" applyAlignment="1">
      <alignment vertical="center"/>
    </xf>
    <xf numFmtId="0" fontId="42" fillId="0" borderId="0" xfId="569" applyFont="1" applyAlignment="1">
      <alignment vertical="center" wrapText="1"/>
    </xf>
    <xf numFmtId="0" fontId="36" fillId="0" borderId="0" xfId="569" applyFont="1" applyAlignment="1">
      <alignment vertical="top" wrapText="1"/>
    </xf>
    <xf numFmtId="0" fontId="25" fillId="0" borderId="0" xfId="569" applyFont="1" applyAlignment="1">
      <alignment vertical="top" wrapText="1"/>
    </xf>
    <xf numFmtId="0" fontId="26" fillId="0" borderId="0" xfId="569" applyFont="1" applyAlignment="1">
      <alignment horizontal="left" vertical="top" wrapText="1"/>
    </xf>
    <xf numFmtId="164" fontId="18" fillId="0" borderId="0" xfId="569" applyNumberFormat="1" applyAlignment="1">
      <alignment horizontal="right"/>
    </xf>
    <xf numFmtId="168" fontId="18" fillId="0" borderId="0" xfId="569" applyNumberFormat="1" applyAlignment="1">
      <alignment horizontal="right"/>
    </xf>
    <xf numFmtId="0" fontId="108" fillId="0" borderId="0" xfId="569" applyFont="1" applyAlignment="1">
      <alignment horizontal="left" vertical="top" wrapText="1"/>
    </xf>
    <xf numFmtId="168" fontId="18" fillId="0" borderId="0" xfId="569" applyNumberFormat="1" applyAlignment="1">
      <alignment wrapText="1"/>
    </xf>
    <xf numFmtId="0" fontId="23" fillId="0" borderId="11" xfId="253" applyFont="1" applyBorder="1" applyAlignment="1">
      <alignment horizontal="center" wrapText="1"/>
    </xf>
    <xf numFmtId="0" fontId="23" fillId="0" borderId="0" xfId="253" applyFont="1" applyAlignment="1">
      <alignment horizontal="center" wrapText="1"/>
    </xf>
    <xf numFmtId="3" fontId="23" fillId="0" borderId="11" xfId="271" applyNumberFormat="1" applyFont="1" applyBorder="1"/>
    <xf numFmtId="3" fontId="23" fillId="0" borderId="0" xfId="271" applyNumberFormat="1" applyFont="1"/>
    <xf numFmtId="0" fontId="66" fillId="0" borderId="0" xfId="271" applyFont="1" applyAlignment="1">
      <alignment horizontal="left"/>
    </xf>
    <xf numFmtId="0" fontId="66" fillId="0" borderId="0" xfId="271" applyFont="1" applyAlignment="1">
      <alignment horizontal="right"/>
    </xf>
    <xf numFmtId="168" fontId="23" fillId="0" borderId="11" xfId="271" applyNumberFormat="1" applyFont="1" applyBorder="1"/>
    <xf numFmtId="168" fontId="23" fillId="0" borderId="0" xfId="271" applyNumberFormat="1" applyFont="1"/>
    <xf numFmtId="0" fontId="54" fillId="0" borderId="0" xfId="569" applyFont="1" applyAlignment="1">
      <alignment horizontal="left"/>
    </xf>
    <xf numFmtId="0" fontId="18" fillId="0" borderId="3" xfId="569" applyBorder="1"/>
    <xf numFmtId="0" fontId="109" fillId="0" borderId="0" xfId="1834"/>
    <xf numFmtId="0" fontId="0" fillId="0" borderId="0" xfId="0" applyAlignment="1">
      <alignment horizontal="left" vertical="top"/>
    </xf>
    <xf numFmtId="0" fontId="108" fillId="0" borderId="0" xfId="0" applyFont="1" applyAlignment="1">
      <alignment vertical="top" wrapText="1"/>
    </xf>
    <xf numFmtId="0" fontId="54" fillId="0" borderId="0" xfId="271" applyFont="1" applyAlignment="1">
      <alignment vertical="top" wrapText="1"/>
    </xf>
    <xf numFmtId="4" fontId="18" fillId="0" borderId="0" xfId="1192" applyNumberFormat="1" applyAlignment="1">
      <alignment horizontal="left" vertical="top" wrapText="1"/>
    </xf>
    <xf numFmtId="0" fontId="18" fillId="0" borderId="0" xfId="0" applyFont="1" applyAlignment="1">
      <alignment horizontal="left" vertical="top" wrapText="1"/>
    </xf>
    <xf numFmtId="0" fontId="25" fillId="0" borderId="12" xfId="543" applyFont="1" applyBorder="1" applyAlignment="1">
      <alignment horizontal="right"/>
    </xf>
    <xf numFmtId="0" fontId="37" fillId="0" borderId="0" xfId="543" applyFont="1" applyAlignment="1">
      <alignment horizontal="center"/>
    </xf>
    <xf numFmtId="4" fontId="18" fillId="0" borderId="0" xfId="569" applyNumberFormat="1" applyAlignment="1">
      <alignment horizontal="left"/>
    </xf>
    <xf numFmtId="0" fontId="18" fillId="0" borderId="0" xfId="569" applyAlignment="1">
      <alignment horizontal="left" vertical="top" wrapText="1"/>
    </xf>
    <xf numFmtId="0" fontId="18" fillId="0" borderId="0" xfId="569" applyAlignment="1">
      <alignment horizontal="left"/>
    </xf>
    <xf numFmtId="0" fontId="18" fillId="0" borderId="0" xfId="1192" applyAlignment="1">
      <alignment horizontal="left"/>
    </xf>
    <xf numFmtId="0" fontId="25" fillId="0" borderId="0" xfId="569" applyFont="1" applyAlignment="1">
      <alignment horizontal="left"/>
    </xf>
    <xf numFmtId="0" fontId="47" fillId="0" borderId="0" xfId="1192" applyFont="1"/>
    <xf numFmtId="0" fontId="54" fillId="0" borderId="11" xfId="0" applyFont="1" applyBorder="1" applyAlignment="1">
      <alignment horizontal="right" vertical="center"/>
    </xf>
    <xf numFmtId="0" fontId="18" fillId="0" borderId="0" xfId="1192" applyAlignment="1">
      <alignment horizontal="left" vertical="top" wrapText="1"/>
    </xf>
    <xf numFmtId="0" fontId="47" fillId="0" borderId="0" xfId="0" applyFont="1" applyAlignment="1">
      <alignment vertical="top" wrapText="1"/>
    </xf>
    <xf numFmtId="0" fontId="47" fillId="0" borderId="0" xfId="0" applyFont="1" applyAlignment="1">
      <alignment horizontal="left" vertical="top" wrapText="1"/>
    </xf>
    <xf numFmtId="6" fontId="55" fillId="0" borderId="0" xfId="569" applyNumberFormat="1" applyFont="1" applyAlignment="1">
      <alignment horizontal="right" vertical="top"/>
    </xf>
    <xf numFmtId="0" fontId="18" fillId="0" borderId="0" xfId="0" applyFont="1" applyAlignment="1">
      <alignment vertical="top" wrapText="1"/>
    </xf>
    <xf numFmtId="168" fontId="27" fillId="0" borderId="0" xfId="0" applyNumberFormat="1" applyFont="1" applyAlignment="1">
      <alignment horizontal="right"/>
    </xf>
    <xf numFmtId="168" fontId="27" fillId="0" borderId="28" xfId="540" applyNumberFormat="1" applyBorder="1" applyAlignment="1" applyProtection="1">
      <alignment horizontal="center"/>
    </xf>
    <xf numFmtId="168" fontId="27" fillId="0" borderId="29" xfId="540" applyNumberFormat="1" applyBorder="1" applyAlignment="1" applyProtection="1">
      <alignment horizontal="center"/>
    </xf>
    <xf numFmtId="168" fontId="27" fillId="0" borderId="30" xfId="540" applyNumberFormat="1" applyBorder="1" applyAlignment="1" applyProtection="1">
      <alignment horizontal="center"/>
    </xf>
    <xf numFmtId="168" fontId="27" fillId="0" borderId="31" xfId="540" applyNumberFormat="1" applyBorder="1" applyAlignment="1" applyProtection="1">
      <alignment horizontal="center"/>
    </xf>
    <xf numFmtId="168" fontId="27" fillId="0" borderId="32" xfId="540" applyNumberFormat="1" applyBorder="1" applyAlignment="1" applyProtection="1">
      <alignment horizontal="center"/>
    </xf>
    <xf numFmtId="168" fontId="27" fillId="0" borderId="33" xfId="540" applyNumberFormat="1" applyBorder="1" applyAlignment="1" applyProtection="1">
      <alignment horizontal="center"/>
    </xf>
    <xf numFmtId="168" fontId="27" fillId="0" borderId="34" xfId="540" applyNumberFormat="1" applyBorder="1" applyAlignment="1" applyProtection="1">
      <alignment horizontal="center"/>
    </xf>
    <xf numFmtId="168" fontId="27" fillId="0" borderId="35" xfId="540" applyNumberFormat="1" applyBorder="1" applyAlignment="1" applyProtection="1">
      <alignment horizontal="center"/>
    </xf>
    <xf numFmtId="168" fontId="27" fillId="0" borderId="36" xfId="540" applyNumberFormat="1" applyBorder="1" applyAlignment="1" applyProtection="1">
      <alignment horizontal="center"/>
    </xf>
    <xf numFmtId="168" fontId="27" fillId="0" borderId="37" xfId="540" applyNumberFormat="1" applyBorder="1" applyAlignment="1" applyProtection="1">
      <alignment horizontal="center"/>
    </xf>
    <xf numFmtId="168" fontId="27" fillId="0" borderId="38" xfId="540" applyNumberFormat="1" applyBorder="1" applyAlignment="1" applyProtection="1">
      <alignment horizontal="center"/>
    </xf>
    <xf numFmtId="168" fontId="27" fillId="0" borderId="39" xfId="540" applyNumberFormat="1" applyBorder="1" applyAlignment="1" applyProtection="1">
      <alignment horizontal="center"/>
    </xf>
    <xf numFmtId="168" fontId="27" fillId="0" borderId="40" xfId="540" applyNumberFormat="1" applyBorder="1" applyAlignment="1" applyProtection="1">
      <alignment horizontal="center"/>
    </xf>
    <xf numFmtId="168" fontId="27" fillId="0" borderId="0" xfId="540" applyNumberFormat="1" applyAlignment="1" applyProtection="1">
      <alignment horizontal="center"/>
    </xf>
    <xf numFmtId="168" fontId="27" fillId="0" borderId="14" xfId="540" applyNumberFormat="1" applyBorder="1" applyAlignment="1" applyProtection="1">
      <alignment horizontal="center"/>
    </xf>
    <xf numFmtId="168" fontId="27" fillId="0" borderId="41" xfId="540" applyNumberFormat="1" applyBorder="1" applyAlignment="1" applyProtection="1">
      <alignment horizontal="center"/>
    </xf>
    <xf numFmtId="168" fontId="27" fillId="0" borderId="42" xfId="540" applyNumberFormat="1" applyBorder="1" applyAlignment="1" applyProtection="1">
      <alignment horizontal="center"/>
    </xf>
    <xf numFmtId="168" fontId="27" fillId="0" borderId="43" xfId="540" applyNumberFormat="1" applyBorder="1" applyAlignment="1" applyProtection="1">
      <alignment horizontal="center"/>
    </xf>
    <xf numFmtId="168" fontId="27" fillId="0" borderId="44" xfId="540" applyNumberFormat="1" applyBorder="1" applyAlignment="1" applyProtection="1">
      <alignment horizontal="center"/>
    </xf>
    <xf numFmtId="0" fontId="18" fillId="0" borderId="0" xfId="1192"/>
    <xf numFmtId="0" fontId="18" fillId="0" borderId="0" xfId="0" applyFont="1" applyAlignment="1">
      <alignment wrapText="1"/>
    </xf>
    <xf numFmtId="0" fontId="47" fillId="0" borderId="0" xfId="0" applyFont="1" applyAlignment="1">
      <alignment horizontal="left" vertical="top"/>
    </xf>
    <xf numFmtId="0" fontId="47" fillId="0" borderId="0" xfId="0" applyFont="1" applyAlignment="1">
      <alignment vertical="top"/>
    </xf>
    <xf numFmtId="0" fontId="18" fillId="0" borderId="0" xfId="569" applyAlignment="1">
      <alignment horizontal="center"/>
    </xf>
    <xf numFmtId="0" fontId="36" fillId="0" borderId="0" xfId="569" applyFont="1" applyAlignment="1">
      <alignment horizontal="left"/>
    </xf>
    <xf numFmtId="0" fontId="36" fillId="0" borderId="0" xfId="569" applyFont="1" applyAlignment="1">
      <alignment horizontal="center"/>
    </xf>
    <xf numFmtId="49" fontId="25" fillId="0" borderId="0" xfId="569" applyNumberFormat="1" applyFont="1" applyAlignment="1">
      <alignment horizontal="center"/>
    </xf>
    <xf numFmtId="0" fontId="52" fillId="0" borderId="0" xfId="569" applyFont="1" applyAlignment="1">
      <alignment horizontal="center"/>
    </xf>
    <xf numFmtId="0" fontId="18" fillId="5" borderId="6" xfId="569" applyFill="1" applyBorder="1" applyProtection="1">
      <protection locked="0"/>
    </xf>
    <xf numFmtId="0" fontId="19" fillId="0" borderId="0" xfId="244" applyAlignment="1" applyProtection="1">
      <alignment horizontal="center"/>
    </xf>
    <xf numFmtId="49" fontId="18" fillId="0" borderId="0" xfId="569" applyNumberFormat="1" applyAlignment="1">
      <alignment horizontal="center"/>
    </xf>
    <xf numFmtId="0" fontId="18" fillId="0" borderId="0" xfId="569" applyAlignment="1">
      <alignment horizontal="center" vertical="center"/>
    </xf>
    <xf numFmtId="0" fontId="18" fillId="0" borderId="0" xfId="1192" applyAlignment="1">
      <alignment horizontal="center"/>
    </xf>
    <xf numFmtId="0" fontId="25" fillId="0" borderId="0" xfId="569" applyFont="1" applyAlignment="1">
      <alignment horizontal="center"/>
    </xf>
    <xf numFmtId="0" fontId="18" fillId="0" borderId="0" xfId="569" applyAlignment="1">
      <alignment horizontal="left" indent="4"/>
    </xf>
    <xf numFmtId="0" fontId="18" fillId="0" borderId="0" xfId="569" quotePrefix="1" applyAlignment="1">
      <alignment horizontal="left"/>
    </xf>
    <xf numFmtId="0" fontId="36" fillId="0" borderId="0" xfId="569" applyFont="1"/>
    <xf numFmtId="0" fontId="18" fillId="0" borderId="0" xfId="1192" applyAlignment="1" applyProtection="1">
      <alignment horizontal="left"/>
      <protection locked="0"/>
    </xf>
    <xf numFmtId="0" fontId="18" fillId="0" borderId="0" xfId="569" applyAlignment="1" applyProtection="1">
      <alignment horizontal="left"/>
      <protection locked="0"/>
    </xf>
    <xf numFmtId="49" fontId="18" fillId="0" borderId="0" xfId="1192" applyNumberFormat="1" applyAlignment="1">
      <alignment horizontal="center"/>
    </xf>
    <xf numFmtId="0" fontId="52" fillId="0" borderId="0" xfId="1192" applyFont="1" applyAlignment="1">
      <alignment horizontal="center"/>
    </xf>
    <xf numFmtId="0" fontId="25" fillId="0" borderId="0" xfId="1192" applyFont="1" applyAlignment="1">
      <alignment horizontal="left"/>
    </xf>
    <xf numFmtId="4" fontId="18" fillId="0" borderId="0" xfId="1192" applyNumberFormat="1" applyAlignment="1">
      <alignment horizontal="left"/>
    </xf>
    <xf numFmtId="0" fontId="25" fillId="0" borderId="0" xfId="569" quotePrefix="1" applyFont="1" applyAlignment="1">
      <alignment horizontal="center"/>
    </xf>
    <xf numFmtId="49" fontId="18" fillId="0" borderId="0" xfId="569" applyNumberFormat="1"/>
    <xf numFmtId="0" fontId="50" fillId="0" borderId="0" xfId="569" applyFont="1" applyAlignment="1">
      <alignment horizontal="left"/>
    </xf>
    <xf numFmtId="4" fontId="52" fillId="0" borderId="0" xfId="569" applyNumberFormat="1" applyFont="1" applyAlignment="1">
      <alignment horizontal="center"/>
    </xf>
    <xf numFmtId="4" fontId="18" fillId="0" borderId="0" xfId="569" applyNumberFormat="1" applyAlignment="1">
      <alignment horizontal="center"/>
    </xf>
    <xf numFmtId="4" fontId="18" fillId="0" borderId="0" xfId="569" applyNumberFormat="1"/>
    <xf numFmtId="0" fontId="48" fillId="0" borderId="0" xfId="569" applyFont="1" applyAlignment="1">
      <alignment horizontal="left"/>
    </xf>
    <xf numFmtId="0" fontId="19" fillId="0" borderId="0" xfId="244" applyNumberFormat="1" applyFill="1" applyAlignment="1" applyProtection="1">
      <alignment horizontal="left"/>
      <protection locked="0"/>
    </xf>
    <xf numFmtId="0" fontId="54" fillId="0" borderId="11" xfId="0" applyFont="1" applyBorder="1" applyAlignment="1" applyProtection="1">
      <alignment horizontal="right" vertical="top" wrapText="1"/>
      <protection locked="0"/>
    </xf>
    <xf numFmtId="168" fontId="57" fillId="44" borderId="11" xfId="0" applyNumberFormat="1" applyFont="1" applyFill="1" applyBorder="1" applyAlignment="1">
      <alignment vertical="top" wrapText="1"/>
    </xf>
    <xf numFmtId="0" fontId="18" fillId="0" borderId="11" xfId="271" applyFont="1" applyBorder="1" applyAlignment="1">
      <alignment horizontal="right" vertical="top" wrapText="1"/>
    </xf>
    <xf numFmtId="0" fontId="26" fillId="0" borderId="0" xfId="569" applyFont="1" applyAlignment="1">
      <alignment horizontal="left"/>
    </xf>
    <xf numFmtId="0" fontId="106" fillId="0" borderId="0" xfId="0" applyFont="1"/>
    <xf numFmtId="0" fontId="117" fillId="0" borderId="0" xfId="0" applyFont="1" applyAlignment="1">
      <alignment horizontal="left" vertical="top"/>
    </xf>
    <xf numFmtId="0" fontId="118" fillId="0" borderId="0" xfId="0" applyFont="1" applyAlignment="1">
      <alignment horizontal="left" vertical="top"/>
    </xf>
    <xf numFmtId="168" fontId="26" fillId="0" borderId="0" xfId="0" applyNumberFormat="1" applyFont="1" applyAlignment="1">
      <alignment horizontal="left" vertical="top" wrapText="1"/>
    </xf>
    <xf numFmtId="168" fontId="54" fillId="5" borderId="11" xfId="0" applyNumberFormat="1" applyFont="1" applyFill="1" applyBorder="1" applyAlignment="1">
      <alignment vertical="top" wrapText="1"/>
    </xf>
    <xf numFmtId="0" fontId="18" fillId="0" borderId="0" xfId="271" applyFont="1" applyAlignment="1">
      <alignment horizontal="left" vertical="top"/>
    </xf>
    <xf numFmtId="0" fontId="54" fillId="0" borderId="0" xfId="569" applyFont="1"/>
    <xf numFmtId="0" fontId="18" fillId="0" borderId="0" xfId="0" applyFont="1" applyAlignment="1">
      <alignment horizontal="left" vertical="top"/>
    </xf>
    <xf numFmtId="4" fontId="18" fillId="0" borderId="0" xfId="1192" applyNumberFormat="1" applyAlignment="1">
      <alignment vertical="top" wrapText="1"/>
    </xf>
    <xf numFmtId="0" fontId="25" fillId="0" borderId="16" xfId="271" applyFont="1" applyBorder="1"/>
    <xf numFmtId="0" fontId="61" fillId="0" borderId="0" xfId="569" applyFont="1"/>
    <xf numFmtId="0" fontId="42" fillId="0" borderId="0" xfId="569" applyFont="1"/>
    <xf numFmtId="0" fontId="18" fillId="0" borderId="0" xfId="1192" applyAlignment="1">
      <alignment vertical="top" wrapText="1"/>
    </xf>
    <xf numFmtId="49" fontId="18" fillId="0" borderId="0" xfId="1192" applyNumberFormat="1" applyAlignment="1">
      <alignment vertical="top" wrapText="1"/>
    </xf>
    <xf numFmtId="0" fontId="56" fillId="0" borderId="9" xfId="543" applyFont="1" applyBorder="1" applyAlignment="1">
      <alignment vertical="top"/>
    </xf>
    <xf numFmtId="0" fontId="18" fillId="0" borderId="0" xfId="0" applyFont="1" applyAlignment="1">
      <alignment vertical="center"/>
    </xf>
    <xf numFmtId="0" fontId="119" fillId="0" borderId="0" xfId="0" applyFont="1"/>
    <xf numFmtId="3" fontId="106" fillId="0" borderId="0" xfId="0" applyNumberFormat="1" applyFont="1"/>
    <xf numFmtId="0" fontId="106" fillId="0" borderId="0" xfId="0" applyFont="1" applyAlignment="1">
      <alignment horizontal="left"/>
    </xf>
    <xf numFmtId="168" fontId="120" fillId="0" borderId="0" xfId="0" applyNumberFormat="1" applyFont="1" applyAlignment="1">
      <alignment horizontal="left" vertical="top"/>
    </xf>
    <xf numFmtId="0" fontId="106" fillId="0" borderId="0" xfId="0" applyFont="1" applyAlignment="1">
      <alignment horizontal="left" vertical="center"/>
    </xf>
    <xf numFmtId="0" fontId="122" fillId="0" borderId="0" xfId="0" applyFont="1"/>
    <xf numFmtId="172" fontId="18" fillId="0" borderId="8" xfId="543" applyNumberFormat="1" applyBorder="1"/>
    <xf numFmtId="0" fontId="18" fillId="0" borderId="8" xfId="4495" applyFont="1" applyBorder="1"/>
    <xf numFmtId="0" fontId="18" fillId="0" borderId="0" xfId="4495" applyFont="1"/>
    <xf numFmtId="0" fontId="24" fillId="0" borderId="0" xfId="4495" applyFont="1" applyAlignment="1">
      <alignment horizontal="center" vertical="center"/>
    </xf>
    <xf numFmtId="0" fontId="25" fillId="0" borderId="0" xfId="4495" applyFont="1" applyAlignment="1">
      <alignment horizontal="left"/>
    </xf>
    <xf numFmtId="0" fontId="25" fillId="0" borderId="0" xfId="4495" applyFont="1"/>
    <xf numFmtId="0" fontId="28" fillId="0" borderId="0" xfId="4495" applyFont="1" applyAlignment="1">
      <alignment horizontal="center" vertical="center"/>
    </xf>
    <xf numFmtId="0" fontId="28" fillId="0" borderId="27" xfId="4495" applyFont="1" applyBorder="1" applyAlignment="1">
      <alignment horizontal="center" vertical="center"/>
    </xf>
    <xf numFmtId="0" fontId="28" fillId="0" borderId="46" xfId="4495" applyFont="1" applyBorder="1" applyAlignment="1">
      <alignment horizontal="center" vertical="center"/>
    </xf>
    <xf numFmtId="0" fontId="25" fillId="0" borderId="0" xfId="4495" applyFont="1" applyAlignment="1">
      <alignment horizontal="right"/>
    </xf>
    <xf numFmtId="0" fontId="36" fillId="0" borderId="0" xfId="4495" applyFont="1" applyAlignment="1">
      <alignment horizontal="left" vertical="center"/>
    </xf>
    <xf numFmtId="0" fontId="18" fillId="0" borderId="0" xfId="1192" quotePrefix="1" applyAlignment="1">
      <alignment horizontal="center"/>
    </xf>
    <xf numFmtId="0" fontId="48" fillId="0" borderId="0" xfId="4495" applyFont="1" applyAlignment="1">
      <alignment horizontal="left" vertical="center"/>
    </xf>
    <xf numFmtId="49" fontId="26" fillId="0" borderId="0" xfId="4495" applyNumberFormat="1" applyFont="1" applyAlignment="1">
      <alignment horizontal="left" vertical="top"/>
    </xf>
    <xf numFmtId="0" fontId="18" fillId="0" borderId="47" xfId="4495" applyFont="1" applyBorder="1" applyAlignment="1">
      <alignment horizontal="left" vertical="center"/>
    </xf>
    <xf numFmtId="0" fontId="28" fillId="0" borderId="48" xfId="4495" applyFont="1" applyBorder="1" applyAlignment="1">
      <alignment horizontal="center" vertical="center"/>
    </xf>
    <xf numFmtId="0" fontId="26" fillId="0" borderId="0" xfId="4495" applyFont="1"/>
    <xf numFmtId="0" fontId="26" fillId="0" borderId="0" xfId="4495" applyFont="1" applyAlignment="1">
      <alignment horizontal="left" vertical="top"/>
    </xf>
    <xf numFmtId="0" fontId="124" fillId="0" borderId="53" xfId="4496" applyFont="1" applyBorder="1" applyAlignment="1">
      <alignment horizontal="left" vertical="top"/>
    </xf>
    <xf numFmtId="0" fontId="123" fillId="0" borderId="0" xfId="4496" applyFont="1" applyAlignment="1">
      <alignment horizontal="left" vertical="top" wrapText="1"/>
    </xf>
    <xf numFmtId="0" fontId="123" fillId="0" borderId="54" xfId="4496" applyFont="1" applyBorder="1" applyAlignment="1">
      <alignment horizontal="left" vertical="top" wrapText="1"/>
    </xf>
    <xf numFmtId="0" fontId="18" fillId="0" borderId="0" xfId="4495" applyFont="1" applyAlignment="1">
      <alignment horizontal="left" vertical="center"/>
    </xf>
    <xf numFmtId="0" fontId="125" fillId="0" borderId="0" xfId="4496" applyFont="1" applyAlignment="1">
      <alignment vertical="center"/>
    </xf>
    <xf numFmtId="0" fontId="123" fillId="0" borderId="0" xfId="4496" applyFont="1"/>
    <xf numFmtId="0" fontId="123" fillId="0" borderId="0" xfId="4496" applyFont="1" applyAlignment="1">
      <alignment vertical="center"/>
    </xf>
    <xf numFmtId="0" fontId="126" fillId="0" borderId="0" xfId="4496" applyFont="1" applyAlignment="1">
      <alignment vertical="center"/>
    </xf>
    <xf numFmtId="0" fontId="18" fillId="0" borderId="0" xfId="4496" applyFont="1" applyAlignment="1">
      <alignment vertical="center"/>
    </xf>
    <xf numFmtId="0" fontId="26" fillId="0" borderId="3" xfId="4495" applyFont="1" applyBorder="1" applyAlignment="1">
      <alignment vertical="top" wrapText="1"/>
    </xf>
    <xf numFmtId="0" fontId="26" fillId="0" borderId="4" xfId="4495" applyFont="1" applyBorder="1" applyAlignment="1">
      <alignment vertical="top" wrapText="1"/>
    </xf>
    <xf numFmtId="164" fontId="121" fillId="0" borderId="4" xfId="4495" applyNumberFormat="1" applyBorder="1" applyAlignment="1">
      <alignment horizontal="right"/>
    </xf>
    <xf numFmtId="0" fontId="26" fillId="0" borderId="4" xfId="4495" applyFont="1" applyBorder="1"/>
    <xf numFmtId="0" fontId="25" fillId="0" borderId="5" xfId="4495" applyFont="1" applyBorder="1" applyAlignment="1">
      <alignment horizontal="right"/>
    </xf>
    <xf numFmtId="0" fontId="18" fillId="0" borderId="16" xfId="4495" applyFont="1" applyBorder="1"/>
    <xf numFmtId="0" fontId="18" fillId="0" borderId="16" xfId="4495" applyFont="1" applyBorder="1" applyAlignment="1">
      <alignment horizontal="left" vertical="top"/>
    </xf>
    <xf numFmtId="0" fontId="26" fillId="0" borderId="16" xfId="4495" applyFont="1" applyBorder="1" applyAlignment="1">
      <alignment horizontal="left" vertical="top" wrapText="1"/>
    </xf>
    <xf numFmtId="0" fontId="26" fillId="0" borderId="45" xfId="4495" applyFont="1" applyBorder="1" applyAlignment="1">
      <alignment horizontal="left" vertical="top" wrapText="1"/>
    </xf>
    <xf numFmtId="0" fontId="121" fillId="0" borderId="0" xfId="4495"/>
    <xf numFmtId="0" fontId="19" fillId="0" borderId="0" xfId="244" applyFill="1" applyBorder="1" applyAlignment="1" applyProtection="1">
      <alignment horizontal="left" vertical="top"/>
    </xf>
    <xf numFmtId="0" fontId="19" fillId="0" borderId="0" xfId="244" applyFill="1" applyBorder="1" applyAlignment="1" applyProtection="1">
      <alignment horizontal="left" vertical="top" wrapText="1"/>
    </xf>
    <xf numFmtId="0" fontId="26" fillId="0" borderId="0" xfId="4495" applyFont="1" applyAlignment="1">
      <alignment horizontal="left" vertical="top" wrapText="1"/>
    </xf>
    <xf numFmtId="0" fontId="26" fillId="0" borderId="0" xfId="4495" applyFont="1" applyAlignment="1">
      <alignment horizontal="right" vertical="top"/>
    </xf>
    <xf numFmtId="0" fontId="18" fillId="0" borderId="0" xfId="4495" applyFont="1" applyAlignment="1">
      <alignment vertical="center" wrapText="1"/>
    </xf>
    <xf numFmtId="0" fontId="123" fillId="0" borderId="53" xfId="4496" applyFont="1" applyBorder="1" applyAlignment="1">
      <alignment vertical="top" wrapText="1"/>
    </xf>
    <xf numFmtId="0" fontId="123" fillId="0" borderId="0" xfId="4496" applyFont="1" applyAlignment="1">
      <alignment vertical="top" wrapText="1"/>
    </xf>
    <xf numFmtId="10" fontId="123" fillId="0" borderId="0" xfId="4496" applyNumberFormat="1" applyFont="1" applyAlignment="1">
      <alignment vertical="top" wrapText="1"/>
    </xf>
    <xf numFmtId="0" fontId="123" fillId="0" borderId="54" xfId="4496" applyFont="1" applyBorder="1" applyAlignment="1">
      <alignment vertical="top" wrapText="1"/>
    </xf>
    <xf numFmtId="0" fontId="123" fillId="0" borderId="0" xfId="4496" applyFont="1" applyAlignment="1">
      <alignment vertical="top"/>
    </xf>
    <xf numFmtId="165" fontId="123" fillId="0" borderId="0" xfId="4496" applyNumberFormat="1" applyFont="1" applyAlignment="1">
      <alignment vertical="top" wrapText="1"/>
    </xf>
    <xf numFmtId="0" fontId="25" fillId="0" borderId="57" xfId="4495" applyFont="1" applyBorder="1"/>
    <xf numFmtId="0" fontId="25" fillId="0" borderId="58" xfId="4495" applyFont="1" applyBorder="1"/>
    <xf numFmtId="0" fontId="25" fillId="0" borderId="58" xfId="4495" applyFont="1" applyBorder="1" applyAlignment="1">
      <alignment horizontal="right"/>
    </xf>
    <xf numFmtId="0" fontId="25" fillId="0" borderId="59" xfId="4495" applyFont="1" applyBorder="1" applyAlignment="1">
      <alignment horizontal="right"/>
    </xf>
    <xf numFmtId="0" fontId="123" fillId="0" borderId="53" xfId="4496" applyFont="1" applyBorder="1" applyAlignment="1">
      <alignment horizontal="left" vertical="top" wrapText="1"/>
    </xf>
    <xf numFmtId="0" fontId="123" fillId="0" borderId="0" xfId="4496" applyFont="1" applyAlignment="1">
      <alignment horizontal="left" vertical="top"/>
    </xf>
    <xf numFmtId="0" fontId="28" fillId="0" borderId="57" xfId="4495" applyFont="1" applyBorder="1" applyAlignment="1">
      <alignment horizontal="center" vertical="center"/>
    </xf>
    <xf numFmtId="0" fontId="28" fillId="0" borderId="58" xfId="4495" applyFont="1" applyBorder="1" applyAlignment="1">
      <alignment horizontal="center" vertical="center"/>
    </xf>
    <xf numFmtId="0" fontId="28" fillId="0" borderId="59" xfId="4495" applyFont="1" applyBorder="1" applyAlignment="1">
      <alignment horizontal="center" vertical="center"/>
    </xf>
    <xf numFmtId="0" fontId="25" fillId="0" borderId="0" xfId="4495" applyFont="1" applyAlignment="1">
      <alignment horizontal="center"/>
    </xf>
    <xf numFmtId="0" fontId="25" fillId="0" borderId="8" xfId="4495" applyFont="1" applyBorder="1"/>
    <xf numFmtId="0" fontId="26" fillId="0" borderId="0" xfId="4495" applyFont="1" applyAlignment="1">
      <alignment horizontal="left"/>
    </xf>
    <xf numFmtId="0" fontId="25" fillId="0" borderId="0" xfId="4495" applyFont="1" applyAlignment="1">
      <alignment horizontal="center" vertical="top"/>
    </xf>
    <xf numFmtId="0" fontId="18" fillId="0" borderId="0" xfId="4495" applyFont="1" applyAlignment="1">
      <alignment horizontal="center"/>
    </xf>
    <xf numFmtId="0" fontId="34" fillId="0" borderId="0" xfId="4495" applyFont="1"/>
    <xf numFmtId="0" fontId="26" fillId="0" borderId="8" xfId="4495" applyFont="1" applyBorder="1"/>
    <xf numFmtId="0" fontId="54" fillId="0" borderId="8" xfId="4495" applyFont="1" applyBorder="1"/>
    <xf numFmtId="1" fontId="18" fillId="0" borderId="0" xfId="1192" applyNumberFormat="1"/>
    <xf numFmtId="0" fontId="18" fillId="0" borderId="3" xfId="4495" applyFont="1" applyBorder="1"/>
    <xf numFmtId="0" fontId="18" fillId="0" borderId="4" xfId="4495" applyFont="1" applyBorder="1"/>
    <xf numFmtId="0" fontId="18" fillId="0" borderId="0" xfId="1192" applyAlignment="1">
      <alignment wrapText="1"/>
    </xf>
    <xf numFmtId="0" fontId="26" fillId="0" borderId="0" xfId="4495" applyFont="1" applyAlignment="1">
      <alignment vertical="top" wrapText="1"/>
    </xf>
    <xf numFmtId="0" fontId="26" fillId="0" borderId="0" xfId="1192" applyFont="1"/>
    <xf numFmtId="0" fontId="18" fillId="0" borderId="0" xfId="4495" applyFont="1" applyAlignment="1">
      <alignment horizontal="left"/>
    </xf>
    <xf numFmtId="0" fontId="26" fillId="0" borderId="3" xfId="4495" applyFont="1" applyBorder="1"/>
    <xf numFmtId="0" fontId="18" fillId="0" borderId="4" xfId="4495" applyFont="1" applyBorder="1" applyAlignment="1">
      <alignment horizontal="right"/>
    </xf>
    <xf numFmtId="1" fontId="18" fillId="0" borderId="0" xfId="4495" applyNumberFormat="1" applyFont="1" applyAlignment="1">
      <alignment horizontal="center"/>
    </xf>
    <xf numFmtId="0" fontId="54" fillId="0" borderId="0" xfId="4495" applyFont="1"/>
    <xf numFmtId="0" fontId="18" fillId="0" borderId="0" xfId="4495" applyFont="1" applyAlignment="1">
      <alignment horizontal="right"/>
    </xf>
    <xf numFmtId="0" fontId="26" fillId="0" borderId="0" xfId="4495" applyFont="1" applyAlignment="1">
      <alignment vertical="top"/>
    </xf>
    <xf numFmtId="0" fontId="26" fillId="0" borderId="27" xfId="4495" applyFont="1" applyBorder="1"/>
    <xf numFmtId="0" fontId="25" fillId="0" borderId="0" xfId="4495" applyFont="1" applyAlignment="1">
      <alignment vertical="top"/>
    </xf>
    <xf numFmtId="0" fontId="36" fillId="0" borderId="0" xfId="4495" applyFont="1" applyAlignment="1">
      <alignment vertical="top" wrapText="1"/>
    </xf>
    <xf numFmtId="0" fontId="25" fillId="0" borderId="0" xfId="4495" applyFont="1" applyAlignment="1">
      <alignment horizontal="left" vertical="top" wrapText="1"/>
    </xf>
    <xf numFmtId="0" fontId="18" fillId="0" borderId="0" xfId="4495" applyFont="1" applyAlignment="1">
      <alignment horizontal="left" vertical="top"/>
    </xf>
    <xf numFmtId="0" fontId="36" fillId="0" borderId="0" xfId="4495" applyFont="1" applyAlignment="1">
      <alignment vertical="top"/>
    </xf>
    <xf numFmtId="0" fontId="18" fillId="0" borderId="10" xfId="4495" applyFont="1" applyBorder="1" applyAlignment="1">
      <alignment horizontal="center"/>
    </xf>
    <xf numFmtId="0" fontId="18" fillId="0" borderId="16" xfId="4495" applyFont="1" applyBorder="1" applyAlignment="1">
      <alignment horizontal="center"/>
    </xf>
    <xf numFmtId="0" fontId="34" fillId="0" borderId="16" xfId="4495" applyFont="1" applyBorder="1"/>
    <xf numFmtId="0" fontId="26" fillId="0" borderId="16" xfId="4495" applyFont="1" applyBorder="1"/>
    <xf numFmtId="0" fontId="18" fillId="0" borderId="0" xfId="4496" applyFont="1" applyAlignment="1">
      <alignment vertical="top" wrapText="1"/>
    </xf>
    <xf numFmtId="0" fontId="25" fillId="0" borderId="0" xfId="1192" applyFont="1" applyAlignment="1">
      <alignment horizontal="right"/>
    </xf>
    <xf numFmtId="0" fontId="18" fillId="0" borderId="0" xfId="4496" applyFont="1"/>
    <xf numFmtId="0" fontId="18" fillId="0" borderId="0" xfId="4496" applyFont="1" applyAlignment="1">
      <alignment horizontal="left"/>
    </xf>
    <xf numFmtId="0" fontId="18" fillId="0" borderId="0" xfId="4496" applyFont="1" applyAlignment="1">
      <alignment horizontal="right"/>
    </xf>
    <xf numFmtId="0" fontId="26" fillId="0" borderId="0" xfId="4496" applyFont="1" applyAlignment="1">
      <alignment vertical="top" wrapText="1"/>
    </xf>
    <xf numFmtId="0" fontId="18" fillId="0" borderId="4" xfId="4496" applyFont="1" applyBorder="1"/>
    <xf numFmtId="0" fontId="25" fillId="0" borderId="4" xfId="4496" applyFont="1" applyBorder="1" applyAlignment="1">
      <alignment horizontal="right"/>
    </xf>
    <xf numFmtId="0" fontId="26" fillId="0" borderId="27" xfId="4495" applyFont="1" applyBorder="1" applyAlignment="1">
      <alignment horizontal="left" vertical="top"/>
    </xf>
    <xf numFmtId="0" fontId="18" fillId="0" borderId="27" xfId="4495" applyFont="1" applyBorder="1" applyAlignment="1">
      <alignment horizontal="left" vertical="top"/>
    </xf>
    <xf numFmtId="0" fontId="25" fillId="0" borderId="27" xfId="4495" applyFont="1" applyBorder="1" applyAlignment="1">
      <alignment horizontal="right"/>
    </xf>
    <xf numFmtId="0" fontId="18" fillId="0" borderId="27" xfId="4495" applyFont="1" applyBorder="1" applyAlignment="1">
      <alignment horizontal="center"/>
    </xf>
    <xf numFmtId="0" fontId="18" fillId="0" borderId="46" xfId="4495" applyFont="1" applyBorder="1" applyAlignment="1">
      <alignment horizontal="center"/>
    </xf>
    <xf numFmtId="164" fontId="26" fillId="0" borderId="0" xfId="4495" applyNumberFormat="1" applyFont="1" applyAlignment="1">
      <alignment horizontal="left" vertical="top" wrapText="1"/>
    </xf>
    <xf numFmtId="0" fontId="29" fillId="0" borderId="0" xfId="4495" applyFont="1"/>
    <xf numFmtId="0" fontId="26" fillId="0" borderId="0" xfId="4495" applyFont="1" applyAlignment="1">
      <alignment horizontal="right"/>
    </xf>
    <xf numFmtId="0" fontId="18" fillId="0" borderId="27" xfId="543" applyBorder="1"/>
    <xf numFmtId="0" fontId="18" fillId="0" borderId="46" xfId="543" applyBorder="1"/>
    <xf numFmtId="0" fontId="25" fillId="0" borderId="0" xfId="4495" applyFont="1" applyAlignment="1">
      <alignment horizontal="left" vertical="top"/>
    </xf>
    <xf numFmtId="1" fontId="121" fillId="0" borderId="0" xfId="4495" applyNumberFormat="1"/>
    <xf numFmtId="0" fontId="18" fillId="0" borderId="0" xfId="4495" applyFont="1" applyAlignment="1">
      <alignment vertical="top" wrapText="1"/>
    </xf>
    <xf numFmtId="0" fontId="18" fillId="0" borderId="0" xfId="4495" applyFont="1" applyAlignment="1">
      <alignment horizontal="left" vertical="top" wrapText="1"/>
    </xf>
    <xf numFmtId="0" fontId="18" fillId="0" borderId="50" xfId="4495" applyFont="1" applyBorder="1" applyAlignment="1">
      <alignment vertical="top"/>
    </xf>
    <xf numFmtId="0" fontId="18" fillId="0" borderId="51" xfId="4495" applyFont="1" applyBorder="1" applyAlignment="1">
      <alignment vertical="top"/>
    </xf>
    <xf numFmtId="0" fontId="18" fillId="0" borderId="52" xfId="4495" applyFont="1" applyBorder="1" applyAlignment="1">
      <alignment vertical="top"/>
    </xf>
    <xf numFmtId="1" fontId="26" fillId="0" borderId="8" xfId="4495" applyNumberFormat="1" applyFont="1" applyBorder="1"/>
    <xf numFmtId="0" fontId="18" fillId="0" borderId="0" xfId="543" applyAlignment="1">
      <alignment vertical="top"/>
    </xf>
    <xf numFmtId="0" fontId="26" fillId="0" borderId="51" xfId="4495" applyFont="1" applyBorder="1" applyAlignment="1">
      <alignment horizontal="left" vertical="top"/>
    </xf>
    <xf numFmtId="0" fontId="26" fillId="0" borderId="52" xfId="4495" applyFont="1" applyBorder="1" applyAlignment="1">
      <alignment horizontal="left" vertical="top"/>
    </xf>
    <xf numFmtId="0" fontId="121" fillId="0" borderId="0" xfId="4495" applyAlignment="1" applyProtection="1">
      <alignment horizontal="center"/>
      <protection locked="0"/>
    </xf>
    <xf numFmtId="0" fontId="18" fillId="0" borderId="53" xfId="4495" applyFont="1" applyBorder="1" applyAlignment="1">
      <alignment vertical="top"/>
    </xf>
    <xf numFmtId="0" fontId="18" fillId="0" borderId="54" xfId="4495" applyFont="1" applyBorder="1" applyAlignment="1">
      <alignment vertical="top" wrapText="1"/>
    </xf>
    <xf numFmtId="0" fontId="62" fillId="0" borderId="53" xfId="4495" applyFont="1" applyBorder="1"/>
    <xf numFmtId="0" fontId="26" fillId="0" borderId="54" xfId="4495" applyFont="1" applyBorder="1" applyAlignment="1">
      <alignment horizontal="left" vertical="top"/>
    </xf>
    <xf numFmtId="0" fontId="18" fillId="0" borderId="53" xfId="4495" applyFont="1" applyBorder="1" applyAlignment="1">
      <alignment vertical="center" wrapText="1"/>
    </xf>
    <xf numFmtId="0" fontId="62" fillId="0" borderId="57" xfId="4495" applyFont="1" applyBorder="1"/>
    <xf numFmtId="0" fontId="26" fillId="0" borderId="58" xfId="4495" applyFont="1" applyBorder="1" applyAlignment="1">
      <alignment horizontal="left" vertical="top"/>
    </xf>
    <xf numFmtId="0" fontId="26" fillId="0" borderId="12" xfId="4495" applyFont="1" applyBorder="1"/>
    <xf numFmtId="0" fontId="18" fillId="0" borderId="57" xfId="4495" applyFont="1" applyBorder="1" applyAlignment="1">
      <alignment vertical="center"/>
    </xf>
    <xf numFmtId="0" fontId="18" fillId="0" borderId="58" xfId="4495" applyFont="1" applyBorder="1" applyAlignment="1">
      <alignment vertical="top"/>
    </xf>
    <xf numFmtId="0" fontId="18" fillId="0" borderId="59" xfId="4495" applyFont="1" applyBorder="1" applyAlignment="1">
      <alignment vertical="top"/>
    </xf>
    <xf numFmtId="0" fontId="18" fillId="0" borderId="0" xfId="4495" applyFont="1" applyAlignment="1">
      <alignment vertical="top"/>
    </xf>
    <xf numFmtId="0" fontId="26" fillId="0" borderId="4" xfId="4495" applyFont="1" applyBorder="1" applyAlignment="1">
      <alignment horizontal="left" vertical="top"/>
    </xf>
    <xf numFmtId="0" fontId="18" fillId="0" borderId="4" xfId="4495" applyFont="1" applyBorder="1" applyAlignment="1">
      <alignment horizontal="left" vertical="top"/>
    </xf>
    <xf numFmtId="0" fontId="18" fillId="0" borderId="2" xfId="4495" applyFont="1" applyBorder="1"/>
    <xf numFmtId="0" fontId="26" fillId="0" borderId="2" xfId="4495" applyFont="1" applyBorder="1"/>
    <xf numFmtId="0" fontId="18" fillId="0" borderId="2" xfId="4495" applyFont="1" applyBorder="1" applyAlignment="1">
      <alignment horizontal="center"/>
    </xf>
    <xf numFmtId="0" fontId="26" fillId="0" borderId="7" xfId="4495" applyFont="1" applyBorder="1"/>
    <xf numFmtId="0" fontId="34" fillId="0" borderId="0" xfId="4495" applyFont="1" applyAlignment="1">
      <alignment horizontal="right"/>
    </xf>
    <xf numFmtId="0" fontId="127" fillId="0" borderId="0" xfId="4495" applyFont="1" applyAlignment="1">
      <alignment horizontal="left" vertical="top" wrapText="1"/>
    </xf>
    <xf numFmtId="0" fontId="34" fillId="0" borderId="0" xfId="4495" applyFont="1" applyAlignment="1">
      <alignment horizontal="left" vertical="top"/>
    </xf>
    <xf numFmtId="0" fontId="26" fillId="0" borderId="0" xfId="4495" quotePrefix="1" applyFont="1" applyAlignment="1">
      <alignment horizontal="right"/>
    </xf>
    <xf numFmtId="0" fontId="18" fillId="0" borderId="0" xfId="4497"/>
    <xf numFmtId="0" fontId="26" fillId="0" borderId="0" xfId="4495" applyFont="1" applyAlignment="1">
      <alignment horizontal="left" vertical="top" wrapText="1" shrinkToFit="1"/>
    </xf>
    <xf numFmtId="0" fontId="121" fillId="0" borderId="0" xfId="4495" applyAlignment="1">
      <alignment vertical="top" wrapText="1"/>
    </xf>
    <xf numFmtId="0" fontId="26" fillId="0" borderId="4" xfId="4495" applyFont="1" applyBorder="1" applyAlignment="1">
      <alignment horizontal="left" vertical="top" wrapText="1" shrinkToFit="1"/>
    </xf>
    <xf numFmtId="0" fontId="34" fillId="0" borderId="8" xfId="4495" applyFont="1" applyBorder="1"/>
    <xf numFmtId="0" fontId="26" fillId="0" borderId="0" xfId="4495" applyFont="1" applyAlignment="1">
      <alignment horizontal="center"/>
    </xf>
    <xf numFmtId="0" fontId="26" fillId="0" borderId="0" xfId="4495" quotePrefix="1" applyFont="1"/>
    <xf numFmtId="0" fontId="26" fillId="0" borderId="0" xfId="4495" applyFont="1" applyAlignment="1">
      <alignment horizontal="left" vertical="top" shrinkToFit="1"/>
    </xf>
    <xf numFmtId="0" fontId="48" fillId="0" borderId="0" xfId="4495" applyFont="1"/>
    <xf numFmtId="0" fontId="26" fillId="0" borderId="3" xfId="4495" applyFont="1" applyBorder="1" applyAlignment="1">
      <alignment horizontal="center"/>
    </xf>
    <xf numFmtId="0" fontId="121" fillId="0" borderId="8" xfId="4495" applyBorder="1"/>
    <xf numFmtId="0" fontId="25" fillId="0" borderId="8" xfId="4495" applyFont="1" applyBorder="1" applyAlignment="1">
      <alignment vertical="top"/>
    </xf>
    <xf numFmtId="0" fontId="121" fillId="0" borderId="0" xfId="4495" applyAlignment="1">
      <alignment vertical="top"/>
    </xf>
    <xf numFmtId="0" fontId="25" fillId="0" borderId="4" xfId="4495" applyFont="1" applyBorder="1" applyAlignment="1">
      <alignment horizontal="center" vertical="top"/>
    </xf>
    <xf numFmtId="0" fontId="127" fillId="0" borderId="0" xfId="4495" applyFont="1" applyAlignment="1">
      <alignment horizontal="left" vertical="top"/>
    </xf>
    <xf numFmtId="0" fontId="127" fillId="0" borderId="4" xfId="4495" applyFont="1" applyBorder="1" applyAlignment="1">
      <alignment horizontal="left" vertical="top"/>
    </xf>
    <xf numFmtId="168" fontId="18" fillId="0" borderId="0" xfId="4497" applyNumberFormat="1"/>
    <xf numFmtId="1" fontId="26" fillId="0" borderId="0" xfId="4495" applyNumberFormat="1" applyFont="1" applyAlignment="1">
      <alignment horizontal="center" vertical="top"/>
    </xf>
    <xf numFmtId="0" fontId="131" fillId="0" borderId="0" xfId="4495" applyFont="1" applyAlignment="1">
      <alignment vertical="top" wrapText="1"/>
    </xf>
    <xf numFmtId="0" fontId="131" fillId="0" borderId="0" xfId="4495" applyFont="1" applyAlignment="1">
      <alignment horizontal="left" vertical="top" wrapText="1"/>
    </xf>
    <xf numFmtId="0" fontId="26" fillId="0" borderId="6" xfId="4495" applyFont="1" applyBorder="1"/>
    <xf numFmtId="1" fontId="26" fillId="0" borderId="8" xfId="4495" applyNumberFormat="1" applyFont="1" applyBorder="1" applyAlignment="1">
      <alignment horizontal="center" vertical="top"/>
    </xf>
    <xf numFmtId="0" fontId="121" fillId="0" borderId="12" xfId="4495" applyBorder="1"/>
    <xf numFmtId="0" fontId="26" fillId="0" borderId="9" xfId="4495" applyFont="1" applyBorder="1"/>
    <xf numFmtId="0" fontId="121" fillId="0" borderId="10" xfId="4495" applyBorder="1"/>
    <xf numFmtId="0" fontId="34" fillId="0" borderId="3" xfId="4495" applyFont="1" applyBorder="1"/>
    <xf numFmtId="0" fontId="25" fillId="0" borderId="4" xfId="4495" applyFont="1" applyBorder="1"/>
    <xf numFmtId="0" fontId="121" fillId="0" borderId="12" xfId="4495" applyBorder="1" applyAlignment="1">
      <alignment vertical="top"/>
    </xf>
    <xf numFmtId="0" fontId="34" fillId="0" borderId="1" xfId="4495" applyFont="1" applyBorder="1"/>
    <xf numFmtId="0" fontId="131" fillId="0" borderId="2" xfId="4495" applyFont="1" applyBorder="1" applyAlignment="1">
      <alignment horizontal="left" wrapText="1"/>
    </xf>
    <xf numFmtId="0" fontId="131" fillId="0" borderId="2" xfId="4495" applyFont="1" applyBorder="1" applyAlignment="1">
      <alignment horizontal="left"/>
    </xf>
    <xf numFmtId="0" fontId="131" fillId="0" borderId="7" xfId="4495" applyFont="1" applyBorder="1" applyAlignment="1">
      <alignment horizontal="left" wrapText="1"/>
    </xf>
    <xf numFmtId="0" fontId="131" fillId="0" borderId="0" xfId="4495" applyFont="1" applyAlignment="1">
      <alignment horizontal="left" wrapText="1"/>
    </xf>
    <xf numFmtId="0" fontId="34" fillId="0" borderId="9" xfId="4495" applyFont="1" applyBorder="1"/>
    <xf numFmtId="0" fontId="26" fillId="0" borderId="10" xfId="4495" applyFont="1" applyBorder="1"/>
    <xf numFmtId="0" fontId="131" fillId="0" borderId="0" xfId="4495" applyFont="1" applyAlignment="1">
      <alignment wrapText="1"/>
    </xf>
    <xf numFmtId="0" fontId="34" fillId="0" borderId="9" xfId="4495" applyFont="1" applyBorder="1" applyAlignment="1">
      <alignment horizontal="center"/>
    </xf>
    <xf numFmtId="0" fontId="25" fillId="0" borderId="10" xfId="4495" applyFont="1" applyBorder="1"/>
    <xf numFmtId="0" fontId="36" fillId="0" borderId="0" xfId="4495" applyFont="1"/>
    <xf numFmtId="0" fontId="26" fillId="0" borderId="50" xfId="4495" applyFont="1" applyBorder="1"/>
    <xf numFmtId="0" fontId="26" fillId="0" borderId="51" xfId="4495" applyFont="1" applyBorder="1"/>
    <xf numFmtId="1" fontId="26" fillId="0" borderId="51" xfId="4495" quotePrefix="1" applyNumberFormat="1" applyFont="1" applyBorder="1" applyAlignment="1">
      <alignment horizontal="center" vertical="top"/>
    </xf>
    <xf numFmtId="0" fontId="25" fillId="0" borderId="51" xfId="4495" applyFont="1" applyBorder="1"/>
    <xf numFmtId="0" fontId="25" fillId="0" borderId="52" xfId="4495" applyFont="1" applyBorder="1" applyAlignment="1">
      <alignment horizontal="center"/>
    </xf>
    <xf numFmtId="0" fontId="18" fillId="0" borderId="53" xfId="4495" applyFont="1" applyBorder="1"/>
    <xf numFmtId="1" fontId="26" fillId="0" borderId="0" xfId="4495" quotePrefix="1" applyNumberFormat="1" applyFont="1" applyAlignment="1">
      <alignment horizontal="center" vertical="top"/>
    </xf>
    <xf numFmtId="0" fontId="25" fillId="0" borderId="54" xfId="4495" applyFont="1" applyBorder="1" applyAlignment="1">
      <alignment horizontal="center"/>
    </xf>
    <xf numFmtId="0" fontId="34" fillId="0" borderId="0" xfId="4495" applyFont="1" applyAlignment="1">
      <alignment vertical="top"/>
    </xf>
    <xf numFmtId="0" fontId="26" fillId="0" borderId="61" xfId="4495" applyFont="1" applyBorder="1"/>
    <xf numFmtId="0" fontId="121" fillId="0" borderId="58" xfId="4495" applyBorder="1" applyAlignment="1">
      <alignment horizontal="center"/>
    </xf>
    <xf numFmtId="1" fontId="26" fillId="0" borderId="58" xfId="4495" quotePrefix="1" applyNumberFormat="1" applyFont="1" applyBorder="1" applyAlignment="1">
      <alignment horizontal="center" vertical="top"/>
    </xf>
    <xf numFmtId="0" fontId="34" fillId="0" borderId="58" xfId="4495" applyFont="1" applyBorder="1" applyAlignment="1">
      <alignment vertical="top"/>
    </xf>
    <xf numFmtId="0" fontId="26" fillId="0" borderId="58" xfId="4495" applyFont="1" applyBorder="1" applyAlignment="1">
      <alignment vertical="top" wrapText="1"/>
    </xf>
    <xf numFmtId="0" fontId="26" fillId="0" borderId="58" xfId="4495" applyFont="1" applyBorder="1"/>
    <xf numFmtId="0" fontId="25" fillId="0" borderId="58" xfId="4495" applyFont="1" applyBorder="1" applyAlignment="1">
      <alignment horizontal="center"/>
    </xf>
    <xf numFmtId="0" fontId="121" fillId="0" borderId="61" xfId="4495" applyBorder="1"/>
    <xf numFmtId="0" fontId="121" fillId="0" borderId="0" xfId="4495" applyAlignment="1">
      <alignment horizontal="center"/>
    </xf>
    <xf numFmtId="0" fontId="18" fillId="0" borderId="53" xfId="543" applyBorder="1"/>
    <xf numFmtId="0" fontId="26" fillId="0" borderId="54" xfId="4495" applyFont="1" applyBorder="1"/>
    <xf numFmtId="0" fontId="18" fillId="0" borderId="58" xfId="543" applyBorder="1"/>
    <xf numFmtId="1" fontId="26" fillId="0" borderId="58" xfId="4495" applyNumberFormat="1" applyFont="1" applyBorder="1" applyAlignment="1">
      <alignment horizontal="center" vertical="top"/>
    </xf>
    <xf numFmtId="0" fontId="34" fillId="0" borderId="58" xfId="4495" applyFont="1" applyBorder="1" applyAlignment="1">
      <alignment vertical="center"/>
    </xf>
    <xf numFmtId="0" fontId="121" fillId="0" borderId="58" xfId="4495" applyBorder="1" applyAlignment="1">
      <alignment vertical="top" wrapText="1"/>
    </xf>
    <xf numFmtId="0" fontId="18" fillId="0" borderId="58" xfId="4495" applyFont="1" applyBorder="1"/>
    <xf numFmtId="0" fontId="34" fillId="0" borderId="0" xfId="4495" applyFont="1" applyAlignment="1">
      <alignment vertical="center"/>
    </xf>
    <xf numFmtId="0" fontId="26" fillId="0" borderId="53" xfId="4495" applyFont="1" applyBorder="1"/>
    <xf numFmtId="0" fontId="18" fillId="0" borderId="57" xfId="543" applyBorder="1"/>
    <xf numFmtId="0" fontId="26" fillId="0" borderId="58" xfId="4495" applyFont="1" applyBorder="1" applyAlignment="1">
      <alignment vertical="top"/>
    </xf>
    <xf numFmtId="0" fontId="26" fillId="0" borderId="59" xfId="4495" applyFont="1" applyBorder="1"/>
    <xf numFmtId="0" fontId="26" fillId="0" borderId="57" xfId="4495" applyFont="1" applyBorder="1"/>
    <xf numFmtId="0" fontId="18" fillId="0" borderId="51" xfId="4495" applyFont="1" applyBorder="1"/>
    <xf numFmtId="0" fontId="26" fillId="0" borderId="52" xfId="4495" applyFont="1" applyBorder="1"/>
    <xf numFmtId="0" fontId="18" fillId="0" borderId="50" xfId="543" applyBorder="1"/>
    <xf numFmtId="0" fontId="18" fillId="0" borderId="51" xfId="543" applyBorder="1"/>
    <xf numFmtId="0" fontId="18" fillId="0" borderId="52" xfId="543" applyBorder="1"/>
    <xf numFmtId="0" fontId="26" fillId="0" borderId="0" xfId="4495" applyFont="1" applyAlignment="1">
      <alignment wrapText="1"/>
    </xf>
    <xf numFmtId="0" fontId="25" fillId="0" borderId="54" xfId="4495" applyFont="1" applyBorder="1" applyAlignment="1">
      <alignment horizontal="center" vertical="top"/>
    </xf>
    <xf numFmtId="0" fontId="121" fillId="0" borderId="53" xfId="4495" applyBorder="1" applyAlignment="1">
      <alignment horizontal="center"/>
    </xf>
    <xf numFmtId="2" fontId="26" fillId="0" borderId="0" xfId="4495" applyNumberFormat="1" applyFont="1" applyAlignment="1">
      <alignment horizontal="right"/>
    </xf>
    <xf numFmtId="2" fontId="26" fillId="0" borderId="8" xfId="4495" applyNumberFormat="1" applyFont="1" applyBorder="1" applyAlignment="1">
      <alignment horizontal="left"/>
    </xf>
    <xf numFmtId="0" fontId="26" fillId="0" borderId="8" xfId="4495" applyFont="1" applyBorder="1" applyAlignment="1">
      <alignment horizontal="right"/>
    </xf>
    <xf numFmtId="0" fontId="130" fillId="0" borderId="0" xfId="4495" applyFont="1"/>
    <xf numFmtId="0" fontId="121" fillId="0" borderId="57" xfId="4495" applyBorder="1" applyAlignment="1">
      <alignment horizontal="center"/>
    </xf>
    <xf numFmtId="0" fontId="25" fillId="0" borderId="59" xfId="4495" applyFont="1" applyBorder="1" applyAlignment="1">
      <alignment horizontal="center"/>
    </xf>
    <xf numFmtId="9" fontId="26" fillId="0" borderId="0" xfId="4495" applyNumberFormat="1" applyFont="1" applyAlignment="1">
      <alignment horizontal="left"/>
    </xf>
    <xf numFmtId="0" fontId="18" fillId="0" borderId="17" xfId="543" applyBorder="1"/>
    <xf numFmtId="0" fontId="18" fillId="0" borderId="16" xfId="543" applyBorder="1"/>
    <xf numFmtId="0" fontId="18" fillId="0" borderId="51" xfId="4495" quotePrefix="1" applyFont="1" applyBorder="1" applyAlignment="1">
      <alignment horizontal="center" vertical="top"/>
    </xf>
    <xf numFmtId="0" fontId="26" fillId="0" borderId="53" xfId="4495" applyFont="1" applyBorder="1" applyAlignment="1">
      <alignment horizontal="left" vertical="top"/>
    </xf>
    <xf numFmtId="0" fontId="26" fillId="0" borderId="0" xfId="4495" applyFont="1" applyAlignment="1">
      <alignment horizontal="center" vertical="top"/>
    </xf>
    <xf numFmtId="0" fontId="26" fillId="0" borderId="57" xfId="4495" applyFont="1" applyBorder="1" applyAlignment="1">
      <alignment horizontal="left" vertical="top"/>
    </xf>
    <xf numFmtId="0" fontId="26" fillId="0" borderId="58" xfId="4495" applyFont="1" applyBorder="1" applyAlignment="1">
      <alignment horizontal="center" vertical="top"/>
    </xf>
    <xf numFmtId="0" fontId="121" fillId="0" borderId="58" xfId="4495" applyBorder="1"/>
    <xf numFmtId="0" fontId="25" fillId="0" borderId="58" xfId="4495" applyFont="1" applyBorder="1" applyAlignment="1">
      <alignment vertical="top"/>
    </xf>
    <xf numFmtId="0" fontId="25" fillId="0" borderId="58" xfId="4495" applyFont="1" applyBorder="1" applyAlignment="1">
      <alignment horizontal="left" vertical="top"/>
    </xf>
    <xf numFmtId="0" fontId="25" fillId="0" borderId="51" xfId="4495" applyFont="1" applyBorder="1" applyAlignment="1">
      <alignment horizontal="left" vertical="top"/>
    </xf>
    <xf numFmtId="0" fontId="25" fillId="0" borderId="53" xfId="4495" applyFont="1" applyBorder="1" applyAlignment="1">
      <alignment horizontal="left" vertical="top"/>
    </xf>
    <xf numFmtId="0" fontId="54" fillId="0" borderId="0" xfId="4495" applyFont="1" applyAlignment="1">
      <alignment horizontal="left" vertical="top"/>
    </xf>
    <xf numFmtId="0" fontId="26" fillId="0" borderId="0" xfId="4495" quotePrefix="1" applyFont="1" applyAlignment="1">
      <alignment horizontal="center" vertical="top"/>
    </xf>
    <xf numFmtId="0" fontId="55" fillId="0" borderId="0" xfId="4495" applyFont="1" applyAlignment="1">
      <alignment horizontal="center"/>
    </xf>
    <xf numFmtId="0" fontId="55" fillId="0" borderId="0" xfId="4495" applyFont="1" applyAlignment="1">
      <alignment vertical="top"/>
    </xf>
    <xf numFmtId="0" fontId="108" fillId="0" borderId="0" xfId="4495" applyFont="1"/>
    <xf numFmtId="0" fontId="54" fillId="0" borderId="0" xfId="4495" applyFont="1" applyAlignment="1">
      <alignment vertical="top"/>
    </xf>
    <xf numFmtId="0" fontId="34" fillId="0" borderId="53" xfId="4495" applyFont="1" applyBorder="1"/>
    <xf numFmtId="2" fontId="26" fillId="0" borderId="8" xfId="4495" applyNumberFormat="1" applyFont="1" applyBorder="1" applyAlignment="1">
      <alignment horizontal="right"/>
    </xf>
    <xf numFmtId="0" fontId="25" fillId="0" borderId="50" xfId="4495" applyFont="1" applyBorder="1" applyAlignment="1">
      <alignment horizontal="left" vertical="top"/>
    </xf>
    <xf numFmtId="0" fontId="54" fillId="0" borderId="51" xfId="4495" applyFont="1" applyBorder="1" applyAlignment="1">
      <alignment horizontal="left" vertical="top"/>
    </xf>
    <xf numFmtId="0" fontId="121" fillId="0" borderId="53" xfId="4495" applyBorder="1"/>
    <xf numFmtId="0" fontId="108" fillId="0" borderId="0" xfId="4495" applyFont="1" applyAlignment="1">
      <alignment horizontal="left" vertical="top"/>
    </xf>
    <xf numFmtId="1" fontId="25" fillId="0" borderId="58" xfId="4495" applyNumberFormat="1" applyFont="1" applyBorder="1" applyAlignment="1">
      <alignment vertical="top"/>
    </xf>
    <xf numFmtId="172" fontId="25" fillId="0" borderId="8" xfId="543" applyNumberFormat="1" applyFont="1" applyBorder="1"/>
    <xf numFmtId="172" fontId="25" fillId="0" borderId="0" xfId="543" applyNumberFormat="1" applyFont="1"/>
    <xf numFmtId="0" fontId="34" fillId="0" borderId="0" xfId="4495" applyFont="1" applyAlignment="1">
      <alignment wrapText="1"/>
    </xf>
    <xf numFmtId="0" fontId="34" fillId="0" borderId="0" xfId="4495" applyFont="1" applyAlignment="1">
      <alignment horizontal="center"/>
    </xf>
    <xf numFmtId="0" fontId="34" fillId="0" borderId="0" xfId="4495" applyFont="1" applyAlignment="1">
      <alignment vertical="center" wrapText="1"/>
    </xf>
    <xf numFmtId="180" fontId="26" fillId="0" borderId="0" xfId="4495" applyNumberFormat="1" applyFont="1" applyAlignment="1">
      <alignment horizontal="center"/>
    </xf>
    <xf numFmtId="1" fontId="26" fillId="0" borderId="0" xfId="4495" applyNumberFormat="1" applyFont="1" applyAlignment="1">
      <alignment horizontal="center"/>
    </xf>
    <xf numFmtId="0" fontId="25" fillId="0" borderId="51" xfId="4495" applyFont="1" applyBorder="1" applyAlignment="1">
      <alignment horizontal="center"/>
    </xf>
    <xf numFmtId="0" fontId="25" fillId="0" borderId="51" xfId="4495" applyFont="1" applyBorder="1" applyAlignment="1">
      <alignment vertical="top"/>
    </xf>
    <xf numFmtId="0" fontId="25" fillId="0" borderId="53" xfId="4495" applyFont="1" applyBorder="1"/>
    <xf numFmtId="0" fontId="18" fillId="0" borderId="54" xfId="543" applyBorder="1"/>
    <xf numFmtId="49" fontId="26" fillId="0" borderId="0" xfId="4495" applyNumberFormat="1" applyFont="1" applyAlignment="1">
      <alignment horizontal="left" vertical="center" wrapText="1"/>
    </xf>
    <xf numFmtId="0" fontId="18" fillId="0" borderId="57" xfId="4495" applyFont="1" applyBorder="1"/>
    <xf numFmtId="1" fontId="18" fillId="0" borderId="0" xfId="4495" applyNumberFormat="1" applyFont="1" applyAlignment="1">
      <alignment vertical="center"/>
    </xf>
    <xf numFmtId="0" fontId="36" fillId="0" borderId="50" xfId="4495" applyFont="1" applyBorder="1"/>
    <xf numFmtId="0" fontId="26" fillId="0" borderId="51" xfId="4495" applyFont="1" applyBorder="1" applyAlignment="1">
      <alignment horizontal="center" vertical="top"/>
    </xf>
    <xf numFmtId="0" fontId="26" fillId="0" borderId="51" xfId="4495" applyFont="1" applyBorder="1" applyAlignment="1">
      <alignment vertical="top" wrapText="1"/>
    </xf>
    <xf numFmtId="0" fontId="26" fillId="0" borderId="51" xfId="4495" applyFont="1" applyBorder="1" applyAlignment="1">
      <alignment horizontal="left" vertical="top" wrapText="1"/>
    </xf>
    <xf numFmtId="0" fontId="18" fillId="0" borderId="0" xfId="4495" quotePrefix="1" applyFont="1" applyAlignment="1">
      <alignment horizontal="center" vertical="top"/>
    </xf>
    <xf numFmtId="1" fontId="26" fillId="0" borderId="0" xfId="4495" quotePrefix="1" applyNumberFormat="1" applyFont="1" applyAlignment="1">
      <alignment wrapText="1"/>
    </xf>
    <xf numFmtId="0" fontId="26" fillId="0" borderId="6" xfId="4495" applyFont="1" applyBorder="1" applyAlignment="1">
      <alignment horizontal="right"/>
    </xf>
    <xf numFmtId="0" fontId="123" fillId="0" borderId="0" xfId="4496" applyFont="1" applyAlignment="1">
      <alignment wrapText="1"/>
    </xf>
    <xf numFmtId="0" fontId="18" fillId="0" borderId="0" xfId="4496" applyFont="1" applyAlignment="1">
      <alignment wrapText="1"/>
    </xf>
    <xf numFmtId="0" fontId="34" fillId="0" borderId="51" xfId="4495" applyFont="1" applyBorder="1" applyAlignment="1">
      <alignment vertical="top"/>
    </xf>
    <xf numFmtId="0" fontId="18" fillId="0" borderId="51" xfId="4496" applyFont="1" applyBorder="1" applyAlignment="1">
      <alignment wrapText="1"/>
    </xf>
    <xf numFmtId="0" fontId="25" fillId="0" borderId="51" xfId="4495" applyFont="1" applyBorder="1" applyAlignment="1">
      <alignment horizontal="right"/>
    </xf>
    <xf numFmtId="0" fontId="18" fillId="0" borderId="52" xfId="4495" applyFont="1" applyBorder="1" applyAlignment="1">
      <alignment horizontal="center"/>
    </xf>
    <xf numFmtId="0" fontId="18" fillId="0" borderId="53" xfId="4495" applyFont="1" applyBorder="1" applyAlignment="1">
      <alignment horizontal="left" vertical="top"/>
    </xf>
    <xf numFmtId="0" fontId="18" fillId="0" borderId="54" xfId="4495" applyFont="1" applyBorder="1" applyAlignment="1">
      <alignment horizontal="left" vertical="top"/>
    </xf>
    <xf numFmtId="0" fontId="18" fillId="0" borderId="54" xfId="4495" applyFont="1" applyBorder="1" applyAlignment="1">
      <alignment horizontal="center"/>
    </xf>
    <xf numFmtId="0" fontId="18" fillId="0" borderId="59" xfId="4495" applyFont="1" applyBorder="1" applyAlignment="1">
      <alignment horizontal="center"/>
    </xf>
    <xf numFmtId="9" fontId="18" fillId="0" borderId="0" xfId="4496" applyNumberFormat="1" applyFont="1" applyAlignment="1">
      <alignment horizontal="center"/>
    </xf>
    <xf numFmtId="1" fontId="18" fillId="0" borderId="0" xfId="543" applyNumberFormat="1"/>
    <xf numFmtId="0" fontId="26" fillId="0" borderId="1" xfId="4495" applyFont="1" applyBorder="1"/>
    <xf numFmtId="0" fontId="25" fillId="0" borderId="0" xfId="4495" applyFont="1" applyAlignment="1">
      <alignment horizontal="center" wrapText="1"/>
    </xf>
    <xf numFmtId="0" fontId="25" fillId="0" borderId="9" xfId="4495" applyFont="1" applyBorder="1" applyAlignment="1">
      <alignment horizontal="left"/>
    </xf>
    <xf numFmtId="0" fontId="25" fillId="0" borderId="3" xfId="4495" applyFont="1" applyBorder="1" applyAlignment="1">
      <alignment horizontal="left"/>
    </xf>
    <xf numFmtId="0" fontId="25" fillId="0" borderId="4" xfId="4495" applyFont="1" applyBorder="1" applyAlignment="1">
      <alignment horizontal="left"/>
    </xf>
    <xf numFmtId="0" fontId="18" fillId="0" borderId="2" xfId="4495" applyFont="1" applyBorder="1" applyAlignment="1">
      <alignment horizontal="left"/>
    </xf>
    <xf numFmtId="0" fontId="25" fillId="0" borderId="2" xfId="4495" applyFont="1" applyBorder="1" applyAlignment="1">
      <alignment horizontal="left"/>
    </xf>
    <xf numFmtId="0" fontId="25" fillId="0" borderId="5" xfId="4495" applyFont="1" applyBorder="1" applyAlignment="1">
      <alignment horizontal="left"/>
    </xf>
    <xf numFmtId="180" fontId="65" fillId="0" borderId="0" xfId="4495" applyNumberFormat="1" applyFont="1" applyAlignment="1">
      <alignment horizontal="center" vertical="center"/>
    </xf>
    <xf numFmtId="0" fontId="18" fillId="0" borderId="12" xfId="4495" applyFont="1" applyBorder="1" applyAlignment="1">
      <alignment vertical="top"/>
    </xf>
    <xf numFmtId="0" fontId="48" fillId="0" borderId="0" xfId="4495" applyFont="1" applyAlignment="1">
      <alignment vertical="top" wrapText="1"/>
    </xf>
    <xf numFmtId="0" fontId="18" fillId="0" borderId="51" xfId="4495" applyFont="1" applyBorder="1" applyAlignment="1">
      <alignment horizontal="left" vertical="top" wrapText="1"/>
    </xf>
    <xf numFmtId="0" fontId="18" fillId="0" borderId="51" xfId="4495" applyFont="1" applyBorder="1" applyAlignment="1">
      <alignment horizontal="right"/>
    </xf>
    <xf numFmtId="0" fontId="18" fillId="0" borderId="52" xfId="4495" applyFont="1" applyBorder="1" applyAlignment="1">
      <alignment horizontal="right"/>
    </xf>
    <xf numFmtId="0" fontId="18" fillId="0" borderId="54" xfId="4495" applyFont="1" applyBorder="1" applyAlignment="1">
      <alignment horizontal="right"/>
    </xf>
    <xf numFmtId="0" fontId="18" fillId="0" borderId="58" xfId="4495" applyFont="1" applyBorder="1" applyAlignment="1">
      <alignment horizontal="left" vertical="top" wrapText="1"/>
    </xf>
    <xf numFmtId="0" fontId="18" fillId="0" borderId="58" xfId="4495" applyFont="1" applyBorder="1" applyAlignment="1">
      <alignment horizontal="right"/>
    </xf>
    <xf numFmtId="0" fontId="18" fillId="0" borderId="59" xfId="4495" applyFont="1" applyBorder="1" applyAlignment="1">
      <alignment horizontal="right"/>
    </xf>
    <xf numFmtId="0" fontId="48" fillId="0" borderId="0" xfId="4495" applyFont="1" applyAlignment="1">
      <alignment horizontal="left" vertical="top" wrapText="1"/>
    </xf>
    <xf numFmtId="0" fontId="18" fillId="0" borderId="0" xfId="1192" applyAlignment="1">
      <alignment horizontal="left" vertical="top"/>
    </xf>
    <xf numFmtId="0" fontId="36" fillId="0" borderId="0" xfId="1192" applyFont="1" applyAlignment="1">
      <alignment horizontal="left" vertical="top"/>
    </xf>
    <xf numFmtId="0" fontId="18" fillId="0" borderId="0" xfId="1192" applyAlignment="1">
      <alignment vertical="top"/>
    </xf>
    <xf numFmtId="168" fontId="18" fillId="0" borderId="0" xfId="1192" applyNumberFormat="1"/>
    <xf numFmtId="165" fontId="18" fillId="0" borderId="0" xfId="1192" applyNumberFormat="1"/>
    <xf numFmtId="165" fontId="18" fillId="0" borderId="0" xfId="1192" applyNumberFormat="1" applyAlignment="1">
      <alignment horizontal="right"/>
    </xf>
    <xf numFmtId="2" fontId="18" fillId="0" borderId="0" xfId="1192" applyNumberFormat="1"/>
    <xf numFmtId="6" fontId="18" fillId="0" borderId="0" xfId="1192" applyNumberFormat="1"/>
    <xf numFmtId="0" fontId="25" fillId="0" borderId="0" xfId="1192" applyFont="1"/>
    <xf numFmtId="0" fontId="48" fillId="0" borderId="0" xfId="1192" applyFont="1"/>
    <xf numFmtId="168" fontId="18" fillId="0" borderId="0" xfId="4495" applyNumberFormat="1" applyFont="1"/>
    <xf numFmtId="0" fontId="25" fillId="0" borderId="0" xfId="1192" applyFont="1" applyAlignment="1">
      <alignment vertical="center"/>
    </xf>
    <xf numFmtId="0" fontId="119" fillId="0" borderId="0" xfId="1192" applyFont="1" applyAlignment="1">
      <alignment horizontal="left"/>
    </xf>
    <xf numFmtId="0" fontId="116" fillId="0" borderId="0" xfId="1192" applyFont="1" applyAlignment="1">
      <alignment horizontal="left"/>
    </xf>
    <xf numFmtId="0" fontId="116" fillId="0" borderId="0" xfId="1192" applyFont="1" applyAlignment="1">
      <alignment horizontal="center"/>
    </xf>
    <xf numFmtId="168" fontId="18" fillId="0" borderId="0" xfId="1192" applyNumberFormat="1" applyAlignment="1">
      <alignment horizontal="center"/>
    </xf>
    <xf numFmtId="9" fontId="18" fillId="0" borderId="0" xfId="1192" applyNumberFormat="1"/>
    <xf numFmtId="0" fontId="18" fillId="0" borderId="0" xfId="1192" applyAlignment="1">
      <alignment horizontal="right"/>
    </xf>
    <xf numFmtId="0" fontId="18" fillId="0" borderId="53" xfId="4495" applyFont="1" applyBorder="1" applyAlignment="1">
      <alignment horizontal="left"/>
    </xf>
    <xf numFmtId="6" fontId="25" fillId="0" borderId="0" xfId="1192" applyNumberFormat="1" applyFont="1" applyAlignment="1">
      <alignment horizontal="right"/>
    </xf>
    <xf numFmtId="165" fontId="18" fillId="0" borderId="0" xfId="4495" applyNumberFormat="1" applyFont="1"/>
    <xf numFmtId="0" fontId="55" fillId="0" borderId="4" xfId="4495" applyFont="1" applyBorder="1"/>
    <xf numFmtId="0" fontId="38" fillId="0" borderId="0" xfId="543" applyFont="1" applyAlignment="1">
      <alignment vertical="center" wrapText="1"/>
    </xf>
    <xf numFmtId="1" fontId="25" fillId="0" borderId="13" xfId="271" applyNumberFormat="1" applyFont="1" applyBorder="1"/>
    <xf numFmtId="1" fontId="27" fillId="0" borderId="13" xfId="271" applyNumberFormat="1" applyBorder="1"/>
    <xf numFmtId="0" fontId="18" fillId="0" borderId="11" xfId="0" applyFont="1" applyBorder="1"/>
    <xf numFmtId="9" fontId="18" fillId="0" borderId="0" xfId="4495" applyNumberFormat="1" applyFont="1"/>
    <xf numFmtId="165" fontId="123" fillId="0" borderId="0" xfId="4496" applyNumberFormat="1" applyFont="1" applyAlignment="1">
      <alignment horizontal="center" vertical="top" wrapText="1"/>
    </xf>
    <xf numFmtId="168" fontId="123" fillId="0" borderId="0" xfId="4496" applyNumberFormat="1" applyFont="1" applyAlignment="1">
      <alignment vertical="top" wrapText="1"/>
    </xf>
    <xf numFmtId="165" fontId="123" fillId="0" borderId="64" xfId="4496" applyNumberFormat="1" applyFont="1" applyBorder="1" applyAlignment="1">
      <alignment horizontal="center" vertical="top" wrapText="1"/>
    </xf>
    <xf numFmtId="165" fontId="123" fillId="0" borderId="53" xfId="4496" applyNumberFormat="1" applyFont="1" applyBorder="1" applyAlignment="1">
      <alignment horizontal="left" vertical="top"/>
    </xf>
    <xf numFmtId="165" fontId="123" fillId="0" borderId="53" xfId="4496" applyNumberFormat="1" applyFont="1" applyBorder="1" applyAlignment="1">
      <alignment horizontal="center" vertical="top" wrapText="1"/>
    </xf>
    <xf numFmtId="168" fontId="123" fillId="0" borderId="0" xfId="4496" applyNumberFormat="1" applyFont="1" applyAlignment="1">
      <alignment vertical="top"/>
    </xf>
    <xf numFmtId="1" fontId="123" fillId="0" borderId="0" xfId="4496" applyNumberFormat="1" applyFont="1" applyAlignment="1">
      <alignment vertical="top" wrapText="1"/>
    </xf>
    <xf numFmtId="164" fontId="26" fillId="0" borderId="0" xfId="4495" applyNumberFormat="1" applyFont="1"/>
    <xf numFmtId="0" fontId="25" fillId="0" borderId="8" xfId="0" applyFont="1" applyBorder="1" applyAlignment="1">
      <alignment horizontal="center" vertical="center" wrapText="1"/>
    </xf>
    <xf numFmtId="0" fontId="25"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2" fillId="0" borderId="50" xfId="1192" applyFont="1" applyBorder="1" applyAlignment="1">
      <alignment horizontal="left"/>
    </xf>
    <xf numFmtId="0" fontId="143" fillId="0" borderId="51" xfId="4495" applyFont="1" applyBorder="1" applyAlignment="1">
      <alignment vertical="top"/>
    </xf>
    <xf numFmtId="0" fontId="142" fillId="0" borderId="51" xfId="4495" applyFont="1" applyBorder="1" applyAlignment="1">
      <alignment vertical="top" wrapText="1"/>
    </xf>
    <xf numFmtId="0" fontId="143" fillId="0" borderId="51" xfId="4495" applyFont="1" applyBorder="1"/>
    <xf numFmtId="0" fontId="143" fillId="0" borderId="53" xfId="1192" applyFont="1" applyBorder="1" applyAlignment="1">
      <alignment horizontal="left"/>
    </xf>
    <xf numFmtId="0" fontId="143" fillId="0" borderId="0" xfId="4495" applyFont="1" applyAlignment="1">
      <alignment vertical="top"/>
    </xf>
    <xf numFmtId="0" fontId="142" fillId="0" borderId="0" xfId="4495" applyFont="1" applyAlignment="1">
      <alignment vertical="top" wrapText="1"/>
    </xf>
    <xf numFmtId="0" fontId="143" fillId="0" borderId="0" xfId="4495" applyFont="1"/>
    <xf numFmtId="0" fontId="142" fillId="0" borderId="53" xfId="1192" applyFont="1" applyBorder="1" applyAlignment="1">
      <alignment horizontal="left"/>
    </xf>
    <xf numFmtId="0" fontId="142" fillId="0" borderId="57" xfId="1192" applyFont="1" applyBorder="1" applyAlignment="1">
      <alignment horizontal="left"/>
    </xf>
    <xf numFmtId="0" fontId="143" fillId="0" borderId="58" xfId="4495" applyFont="1" applyBorder="1" applyAlignment="1">
      <alignment vertical="top"/>
    </xf>
    <xf numFmtId="0" fontId="142" fillId="0" borderId="58" xfId="4495" applyFont="1" applyBorder="1" applyAlignment="1">
      <alignment vertical="top" wrapText="1"/>
    </xf>
    <xf numFmtId="0" fontId="143" fillId="0" borderId="58" xfId="4495" applyFont="1" applyBorder="1"/>
    <xf numFmtId="0" fontId="27" fillId="0" borderId="3" xfId="0" applyFont="1" applyBorder="1" applyAlignment="1">
      <alignment horizontal="center"/>
    </xf>
    <xf numFmtId="0" fontId="27" fillId="0" borderId="4" xfId="0" applyFont="1" applyBorder="1" applyAlignment="1">
      <alignment horizontal="center"/>
    </xf>
    <xf numFmtId="0" fontId="27" fillId="0" borderId="5" xfId="0" applyFont="1" applyBorder="1" applyAlignment="1">
      <alignment horizontal="center"/>
    </xf>
    <xf numFmtId="0" fontId="25" fillId="0" borderId="7" xfId="0" applyFont="1" applyBorder="1" applyAlignment="1">
      <alignment horizontal="right"/>
    </xf>
    <xf numFmtId="0" fontId="0" fillId="0" borderId="0" xfId="0" applyAlignment="1" applyProtection="1">
      <alignment horizontal="left" vertical="top" wrapText="1"/>
      <protection locked="0"/>
    </xf>
    <xf numFmtId="0" fontId="18" fillId="0" borderId="9" xfId="0" applyFont="1" applyBorder="1" applyAlignment="1">
      <alignment horizontal="left"/>
    </xf>
    <xf numFmtId="0" fontId="18" fillId="0" borderId="6" xfId="0" applyFont="1" applyBorder="1"/>
    <xf numFmtId="0" fontId="18" fillId="0" borderId="9" xfId="0" applyFont="1" applyBorder="1"/>
    <xf numFmtId="0" fontId="51" fillId="0" borderId="0" xfId="0" applyFont="1" applyAlignment="1">
      <alignment horizontal="center"/>
    </xf>
    <xf numFmtId="0" fontId="24" fillId="0" borderId="0" xfId="0" applyFont="1" applyAlignment="1">
      <alignment horizontal="center" vertical="center" wrapText="1"/>
    </xf>
    <xf numFmtId="0" fontId="33" fillId="0" borderId="0" xfId="0" applyFont="1" applyAlignment="1">
      <alignment horizontal="center"/>
    </xf>
    <xf numFmtId="0" fontId="26" fillId="0" borderId="0" xfId="0" applyFont="1" applyAlignment="1">
      <alignment horizontal="center"/>
    </xf>
    <xf numFmtId="0" fontId="25" fillId="0" borderId="3" xfId="0" applyFont="1" applyBorder="1"/>
    <xf numFmtId="0" fontId="25" fillId="0" borderId="4" xfId="271" applyFont="1" applyBorder="1"/>
    <xf numFmtId="0" fontId="25" fillId="0" borderId="3" xfId="271" applyFont="1" applyBorder="1"/>
    <xf numFmtId="0" fontId="25" fillId="0" borderId="5" xfId="271" applyFont="1" applyBorder="1"/>
    <xf numFmtId="0" fontId="18" fillId="0" borderId="58" xfId="4495" applyFont="1" applyBorder="1" applyAlignment="1">
      <alignment vertical="center" wrapText="1"/>
    </xf>
    <xf numFmtId="0" fontId="18" fillId="0" borderId="59" xfId="4495" applyFont="1" applyBorder="1" applyAlignment="1">
      <alignment vertical="center" wrapText="1"/>
    </xf>
    <xf numFmtId="0" fontId="18" fillId="0" borderId="0" xfId="4495" applyFont="1" applyAlignment="1">
      <alignment horizontal="left" vertical="center" wrapText="1"/>
    </xf>
    <xf numFmtId="0" fontId="25" fillId="0" borderId="5" xfId="0" applyFont="1" applyBorder="1"/>
    <xf numFmtId="9" fontId="26" fillId="0" borderId="0" xfId="543" applyNumberFormat="1" applyFont="1" applyAlignment="1">
      <alignment horizontal="center"/>
    </xf>
    <xf numFmtId="171" fontId="18" fillId="0" borderId="0" xfId="543" applyNumberFormat="1"/>
    <xf numFmtId="171" fontId="18" fillId="0" borderId="11" xfId="543" applyNumberFormat="1" applyBorder="1"/>
    <xf numFmtId="1" fontId="18" fillId="0" borderId="11" xfId="543" applyNumberFormat="1" applyBorder="1" applyAlignment="1">
      <alignment horizontal="center"/>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45" fillId="0" borderId="8" xfId="543" applyFont="1" applyBorder="1" applyAlignment="1">
      <alignment vertical="center" wrapText="1"/>
    </xf>
    <xf numFmtId="0" fontId="45" fillId="0" borderId="0" xfId="543" applyFont="1" applyAlignment="1">
      <alignment vertical="center" wrapText="1"/>
    </xf>
    <xf numFmtId="0" fontId="45" fillId="0" borderId="12" xfId="543" applyFont="1" applyBorder="1" applyAlignment="1">
      <alignment vertical="center" wrapText="1"/>
    </xf>
    <xf numFmtId="0" fontId="45" fillId="0" borderId="9" xfId="543" applyFont="1" applyBorder="1" applyAlignment="1">
      <alignment vertical="center" wrapText="1"/>
    </xf>
    <xf numFmtId="0" fontId="45" fillId="0" borderId="6" xfId="543" applyFont="1" applyBorder="1" applyAlignment="1">
      <alignment vertical="center" wrapText="1"/>
    </xf>
    <xf numFmtId="0" fontId="45" fillId="0" borderId="10" xfId="543" applyFont="1" applyBorder="1" applyAlignment="1">
      <alignment vertical="center" wrapText="1"/>
    </xf>
    <xf numFmtId="0" fontId="38" fillId="0" borderId="12" xfId="543" applyFont="1" applyBorder="1" applyAlignment="1">
      <alignment horizontal="center" vertical="top"/>
    </xf>
    <xf numFmtId="0" fontId="39" fillId="0" borderId="7" xfId="543" applyFont="1" applyBorder="1"/>
    <xf numFmtId="0" fontId="18" fillId="0" borderId="12" xfId="543" quotePrefix="1" applyBorder="1"/>
    <xf numFmtId="0" fontId="54" fillId="0" borderId="2" xfId="569" applyFont="1" applyBorder="1" applyAlignment="1">
      <alignment vertical="top"/>
    </xf>
    <xf numFmtId="0" fontId="28" fillId="0" borderId="0" xfId="4495" applyFont="1"/>
    <xf numFmtId="0" fontId="18" fillId="0" borderId="0" xfId="4495" applyFont="1" applyAlignment="1">
      <alignment vertical="top" wrapText="1" shrinkToFit="1"/>
    </xf>
    <xf numFmtId="0" fontId="147" fillId="0" borderId="0" xfId="4495" applyFont="1"/>
    <xf numFmtId="164" fontId="18" fillId="0" borderId="0" xfId="1192" applyNumberFormat="1" applyAlignment="1">
      <alignment horizontal="right"/>
    </xf>
    <xf numFmtId="164" fontId="18" fillId="0" borderId="0" xfId="4495" applyNumberFormat="1" applyFont="1" applyAlignment="1">
      <alignment horizontal="right"/>
    </xf>
    <xf numFmtId="0" fontId="18" fillId="0" borderId="0" xfId="4495" applyFont="1" applyAlignment="1">
      <alignment horizontal="left" vertical="top" wrapText="1" shrinkToFit="1"/>
    </xf>
    <xf numFmtId="0" fontId="18" fillId="0" borderId="6" xfId="4495" applyFont="1" applyBorder="1" applyAlignment="1">
      <alignment vertical="top" wrapText="1"/>
    </xf>
    <xf numFmtId="0" fontId="147" fillId="0" borderId="4" xfId="4495" applyFont="1" applyBorder="1"/>
    <xf numFmtId="0" fontId="18" fillId="0" borderId="4" xfId="4495" applyFont="1" applyBorder="1" applyAlignment="1">
      <alignment horizontal="left" vertical="top" wrapText="1" shrinkToFit="1"/>
    </xf>
    <xf numFmtId="0" fontId="28" fillId="0" borderId="0" xfId="4495" applyFont="1" applyAlignment="1">
      <alignment horizontal="left" vertical="top"/>
    </xf>
    <xf numFmtId="0" fontId="18" fillId="0" borderId="0" xfId="4495" applyFont="1" applyAlignment="1">
      <alignment vertical="center" wrapText="1" shrinkToFit="1"/>
    </xf>
    <xf numFmtId="0" fontId="18" fillId="0" borderId="0" xfId="4495" applyFont="1" applyAlignment="1">
      <alignment horizontal="left" vertical="top" shrinkToFit="1"/>
    </xf>
    <xf numFmtId="0" fontId="18" fillId="0" borderId="0" xfId="4495" applyFont="1" applyAlignment="1">
      <alignment horizontal="left" vertical="center" shrinkToFit="1"/>
    </xf>
    <xf numFmtId="0" fontId="28" fillId="0" borderId="4" xfId="4495" applyFont="1" applyBorder="1"/>
    <xf numFmtId="0" fontId="18" fillId="0" borderId="4" xfId="4495" applyFont="1" applyBorder="1" applyAlignment="1">
      <alignment horizontal="left" vertical="top" shrinkToFit="1"/>
    </xf>
    <xf numFmtId="0" fontId="18" fillId="0" borderId="0" xfId="4495" applyFont="1" applyAlignment="1">
      <alignment vertical="center"/>
    </xf>
    <xf numFmtId="0" fontId="24" fillId="0" borderId="0" xfId="4495" applyFont="1"/>
    <xf numFmtId="0" fontId="28" fillId="0" borderId="0" xfId="4495" applyFont="1" applyAlignment="1">
      <alignment horizontal="center"/>
    </xf>
    <xf numFmtId="0" fontId="18" fillId="0" borderId="4" xfId="4495" applyFont="1" applyBorder="1" applyAlignment="1">
      <alignment horizontal="left" vertical="top" wrapText="1"/>
    </xf>
    <xf numFmtId="44" fontId="18" fillId="0" borderId="0" xfId="707" applyFont="1" applyFill="1" applyBorder="1" applyAlignment="1" applyProtection="1">
      <alignment horizontal="left" vertical="top" wrapText="1"/>
    </xf>
    <xf numFmtId="44" fontId="18" fillId="0" borderId="4" xfId="707" applyFont="1" applyFill="1" applyBorder="1" applyAlignment="1" applyProtection="1">
      <alignment horizontal="left" vertical="top" wrapText="1"/>
    </xf>
    <xf numFmtId="164" fontId="36" fillId="0" borderId="0" xfId="4495" applyNumberFormat="1" applyFont="1" applyAlignment="1">
      <alignment horizontal="left"/>
    </xf>
    <xf numFmtId="0" fontId="28" fillId="0" borderId="0" xfId="4495" applyFont="1" applyAlignment="1">
      <alignment horizontal="left"/>
    </xf>
    <xf numFmtId="0" fontId="18" fillId="0" borderId="4" xfId="4495" applyFont="1" applyBorder="1" applyAlignment="1">
      <alignment vertical="top" wrapText="1"/>
    </xf>
    <xf numFmtId="0" fontId="28" fillId="0" borderId="4" xfId="4495" applyFont="1" applyBorder="1" applyAlignment="1">
      <alignment horizontal="left" vertical="top"/>
    </xf>
    <xf numFmtId="0" fontId="18" fillId="0" borderId="0" xfId="4495" applyFont="1" applyAlignment="1">
      <alignment horizontal="left" vertical="center" wrapText="1" shrinkToFit="1"/>
    </xf>
    <xf numFmtId="0" fontId="18" fillId="0" borderId="6" xfId="4495" applyFont="1" applyBorder="1" applyAlignment="1">
      <alignment horizontal="left" vertical="top" wrapText="1"/>
    </xf>
    <xf numFmtId="2" fontId="119" fillId="0" borderId="0" xfId="0" applyNumberFormat="1" applyFont="1" applyAlignment="1">
      <alignment horizontal="center"/>
    </xf>
    <xf numFmtId="9" fontId="18" fillId="0" borderId="0" xfId="4494" applyFont="1" applyAlignment="1">
      <alignment horizontal="center"/>
    </xf>
    <xf numFmtId="3" fontId="18" fillId="0" borderId="0" xfId="0" applyNumberFormat="1" applyFont="1"/>
    <xf numFmtId="10" fontId="18" fillId="0" borderId="0" xfId="0" applyNumberFormat="1" applyFont="1" applyAlignment="1">
      <alignment horizontal="center"/>
    </xf>
    <xf numFmtId="168" fontId="18" fillId="0" borderId="0" xfId="0" applyNumberFormat="1" applyFont="1"/>
    <xf numFmtId="172" fontId="18" fillId="0" borderId="11" xfId="0" applyNumberFormat="1" applyFont="1" applyBorder="1" applyAlignment="1">
      <alignment horizontal="center"/>
    </xf>
    <xf numFmtId="168" fontId="18" fillId="5" borderId="0" xfId="0" applyNumberFormat="1" applyFont="1" applyFill="1"/>
    <xf numFmtId="3" fontId="18" fillId="5" borderId="0" xfId="0" applyNumberFormat="1" applyFont="1" applyFill="1"/>
    <xf numFmtId="0" fontId="18" fillId="5" borderId="0" xfId="0" applyFont="1" applyFill="1"/>
    <xf numFmtId="3" fontId="18" fillId="5" borderId="6" xfId="0" applyNumberFormat="1" applyFont="1" applyFill="1" applyBorder="1"/>
    <xf numFmtId="3" fontId="18" fillId="0" borderId="6" xfId="0" applyNumberFormat="1" applyFont="1" applyBorder="1"/>
    <xf numFmtId="168" fontId="18" fillId="0" borderId="0" xfId="0" applyNumberFormat="1" applyFont="1" applyAlignment="1">
      <alignment horizontal="center"/>
    </xf>
    <xf numFmtId="3" fontId="18" fillId="0" borderId="0" xfId="0" applyNumberFormat="1" applyFont="1" applyAlignment="1">
      <alignment horizontal="center"/>
    </xf>
    <xf numFmtId="0" fontId="18" fillId="0" borderId="50" xfId="4495" applyFont="1" applyBorder="1" applyAlignment="1">
      <alignment vertical="center"/>
    </xf>
    <xf numFmtId="0" fontId="18" fillId="0" borderId="51" xfId="4495" applyFont="1" applyBorder="1" applyAlignment="1">
      <alignment vertical="center"/>
    </xf>
    <xf numFmtId="0" fontId="18" fillId="0" borderId="52" xfId="4495" applyFont="1" applyBorder="1" applyAlignment="1">
      <alignment vertical="center"/>
    </xf>
    <xf numFmtId="0" fontId="18" fillId="0" borderId="54" xfId="4495" applyFont="1" applyBorder="1" applyAlignment="1">
      <alignment vertical="center" wrapText="1"/>
    </xf>
    <xf numFmtId="0" fontId="18" fillId="0" borderId="53" xfId="4495" applyFont="1" applyBorder="1" applyAlignment="1">
      <alignment vertical="top" wrapText="1"/>
    </xf>
    <xf numFmtId="0" fontId="18" fillId="0" borderId="58" xfId="0" applyFont="1" applyBorder="1" applyAlignment="1">
      <alignment horizontal="left"/>
    </xf>
    <xf numFmtId="9" fontId="18" fillId="0" borderId="0" xfId="543" applyNumberFormat="1" applyAlignment="1">
      <alignment horizontal="center"/>
    </xf>
    <xf numFmtId="0" fontId="50" fillId="0" borderId="0" xfId="4496" applyFont="1"/>
    <xf numFmtId="168" fontId="54" fillId="5" borderId="11" xfId="0" applyNumberFormat="1" applyFont="1" applyFill="1" applyBorder="1" applyAlignment="1" applyProtection="1">
      <alignment vertical="top" wrapText="1"/>
      <protection locked="0"/>
    </xf>
    <xf numFmtId="0" fontId="18" fillId="0" borderId="0" xfId="0" applyFont="1" applyAlignment="1">
      <alignment horizontal="left" wrapText="1"/>
    </xf>
    <xf numFmtId="4" fontId="36" fillId="0" borderId="0" xfId="0" applyNumberFormat="1" applyFont="1" applyAlignment="1">
      <alignment horizontal="left"/>
    </xf>
    <xf numFmtId="4" fontId="18" fillId="0" borderId="0" xfId="0" applyNumberFormat="1" applyFont="1" applyAlignment="1">
      <alignment horizontal="left" vertical="top" wrapText="1"/>
    </xf>
    <xf numFmtId="0" fontId="25" fillId="0" borderId="4" xfId="0" applyFont="1" applyBorder="1" applyAlignment="1">
      <alignment horizontal="left"/>
    </xf>
    <xf numFmtId="4" fontId="18" fillId="0" borderId="0" xfId="0" applyNumberFormat="1" applyFont="1" applyAlignment="1">
      <alignment horizontal="left"/>
    </xf>
    <xf numFmtId="43" fontId="52" fillId="0" borderId="0" xfId="4503" applyFont="1" applyAlignment="1" applyProtection="1">
      <alignment horizontal="center"/>
    </xf>
    <xf numFmtId="43" fontId="18" fillId="0" borderId="0" xfId="4503" applyFont="1" applyAlignment="1" applyProtection="1">
      <alignment horizontal="center"/>
    </xf>
    <xf numFmtId="43" fontId="18" fillId="0" borderId="0" xfId="4503" applyFont="1" applyProtection="1"/>
    <xf numFmtId="49" fontId="18" fillId="0" borderId="0" xfId="0" applyNumberFormat="1" applyFont="1"/>
    <xf numFmtId="49" fontId="18" fillId="0" borderId="0" xfId="0" applyNumberFormat="1" applyFont="1" applyAlignment="1">
      <alignment horizontal="center"/>
    </xf>
    <xf numFmtId="4" fontId="18" fillId="0" borderId="0" xfId="0" applyNumberFormat="1" applyFont="1" applyAlignment="1">
      <alignment vertical="top" wrapText="1"/>
    </xf>
    <xf numFmtId="0" fontId="18" fillId="0" borderId="0" xfId="0" quotePrefix="1" applyFont="1"/>
    <xf numFmtId="0" fontId="48" fillId="0" borderId="0" xfId="0" applyFont="1" applyAlignment="1">
      <alignment horizontal="left"/>
    </xf>
    <xf numFmtId="0" fontId="18" fillId="0" borderId="4" xfId="0" applyFont="1" applyBorder="1" applyAlignment="1">
      <alignment horizontal="left"/>
    </xf>
    <xf numFmtId="0" fontId="18" fillId="0" borderId="0" xfId="0" quotePrefix="1" applyFont="1" applyAlignment="1">
      <alignment horizontal="left"/>
    </xf>
    <xf numFmtId="0" fontId="18" fillId="0" borderId="0" xfId="0" quotePrefix="1" applyFont="1" applyAlignment="1">
      <alignment horizontal="left" vertical="top"/>
    </xf>
    <xf numFmtId="0" fontId="48" fillId="0" borderId="0" xfId="1192" applyFont="1" applyAlignment="1">
      <alignment horizontal="left"/>
    </xf>
    <xf numFmtId="0" fontId="52" fillId="0" borderId="0" xfId="0" applyFont="1" applyAlignment="1">
      <alignment horizontal="center" vertical="center"/>
    </xf>
    <xf numFmtId="49" fontId="25" fillId="0" borderId="0" xfId="0" applyNumberFormat="1" applyFont="1" applyAlignment="1">
      <alignment horizontal="center" vertical="center"/>
    </xf>
    <xf numFmtId="49" fontId="18" fillId="0" borderId="0" xfId="0" applyNumberFormat="1" applyFont="1" applyAlignment="1">
      <alignment vertical="center"/>
    </xf>
    <xf numFmtId="4" fontId="18" fillId="0" borderId="0" xfId="0" applyNumberFormat="1" applyFont="1" applyAlignment="1">
      <alignment horizontal="center"/>
    </xf>
    <xf numFmtId="4" fontId="18" fillId="0" borderId="0" xfId="0" applyNumberFormat="1" applyFont="1"/>
    <xf numFmtId="10" fontId="18" fillId="0" borderId="0" xfId="4495" applyNumberFormat="1" applyFont="1"/>
    <xf numFmtId="10" fontId="123" fillId="0" borderId="0" xfId="4496" applyNumberFormat="1" applyFont="1" applyAlignment="1">
      <alignment horizontal="center" vertical="top" wrapText="1"/>
    </xf>
    <xf numFmtId="10" fontId="123" fillId="0" borderId="64" xfId="4496" applyNumberFormat="1" applyFont="1" applyBorder="1" applyAlignment="1">
      <alignment horizontal="center" vertical="top" wrapText="1"/>
    </xf>
    <xf numFmtId="10" fontId="123"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8" fillId="0" borderId="0" xfId="1192" quotePrefix="1" applyNumberFormat="1" applyAlignment="1">
      <alignment horizontal="center"/>
    </xf>
    <xf numFmtId="0" fontId="123" fillId="0" borderId="0" xfId="4495" applyFont="1"/>
    <xf numFmtId="10" fontId="123" fillId="0" borderId="0" xfId="4495" applyNumberFormat="1" applyFont="1"/>
    <xf numFmtId="172" fontId="18" fillId="0" borderId="0" xfId="4495" applyNumberFormat="1" applyFont="1"/>
    <xf numFmtId="0" fontId="41" fillId="0" borderId="0" xfId="0" applyFont="1" applyAlignment="1">
      <alignment horizontal="center"/>
    </xf>
    <xf numFmtId="0" fontId="37" fillId="0" borderId="0" xfId="0" applyFont="1" applyAlignment="1">
      <alignment horizontal="left"/>
    </xf>
    <xf numFmtId="0" fontId="0" fillId="0" borderId="10" xfId="0" applyBorder="1" applyAlignment="1">
      <alignment horizontal="left"/>
    </xf>
    <xf numFmtId="1" fontId="18" fillId="0" borderId="0" xfId="1192" applyNumberFormat="1" applyAlignment="1">
      <alignment horizontal="center"/>
    </xf>
    <xf numFmtId="0" fontId="121" fillId="0" borderId="63" xfId="4495" applyBorder="1"/>
    <xf numFmtId="0" fontId="54" fillId="0" borderId="0" xfId="271" applyFont="1" applyAlignment="1">
      <alignment vertical="top"/>
    </xf>
    <xf numFmtId="0" fontId="25" fillId="0" borderId="11" xfId="0" applyFont="1" applyBorder="1" applyAlignment="1">
      <alignment horizontal="right" vertical="top" wrapText="1"/>
    </xf>
    <xf numFmtId="0" fontId="27" fillId="0" borderId="11" xfId="271" applyBorder="1" applyAlignment="1" applyProtection="1">
      <alignment horizontal="right" vertical="top" wrapText="1"/>
      <protection locked="0"/>
    </xf>
    <xf numFmtId="0" fontId="18" fillId="0" borderId="54" xfId="4495" applyFont="1" applyBorder="1" applyAlignment="1">
      <alignment vertical="top"/>
    </xf>
    <xf numFmtId="9" fontId="27" fillId="0" borderId="0" xfId="0" applyNumberFormat="1" applyFont="1"/>
    <xf numFmtId="0" fontId="18" fillId="0" borderId="16" xfId="569" applyBorder="1" applyAlignment="1">
      <alignment horizontal="center"/>
    </xf>
    <xf numFmtId="164" fontId="18" fillId="0" borderId="57" xfId="4495" applyNumberFormat="1" applyFont="1" applyBorder="1" applyAlignment="1">
      <alignment vertical="top" wrapText="1"/>
    </xf>
    <xf numFmtId="164" fontId="18" fillId="0" borderId="58" xfId="4495" applyNumberFormat="1" applyFont="1" applyBorder="1" applyAlignment="1">
      <alignment vertical="top" wrapText="1"/>
    </xf>
    <xf numFmtId="164" fontId="18" fillId="0" borderId="59" xfId="4495" applyNumberFormat="1" applyFont="1" applyBorder="1" applyAlignment="1">
      <alignment vertical="top" wrapText="1"/>
    </xf>
    <xf numFmtId="0" fontId="25" fillId="0" borderId="0" xfId="1192" applyFont="1" applyAlignment="1">
      <alignment horizontal="left" vertical="top" wrapText="1"/>
    </xf>
    <xf numFmtId="0" fontId="18" fillId="0" borderId="16" xfId="569" applyBorder="1"/>
    <xf numFmtId="0" fontId="18" fillId="0" borderId="4" xfId="569" applyBorder="1"/>
    <xf numFmtId="0" fontId="25" fillId="0" borderId="4" xfId="569" applyFont="1" applyBorder="1"/>
    <xf numFmtId="49" fontId="18" fillId="0" borderId="4" xfId="569" applyNumberFormat="1" applyBorder="1"/>
    <xf numFmtId="0" fontId="150" fillId="0" borderId="0" xfId="0" applyFont="1"/>
    <xf numFmtId="0" fontId="18" fillId="0" borderId="0" xfId="0" applyFont="1" applyAlignment="1">
      <alignment horizontal="right"/>
    </xf>
    <xf numFmtId="1" fontId="18" fillId="0" borderId="0" xfId="0" applyNumberFormat="1" applyFont="1" applyAlignment="1">
      <alignment horizontal="center"/>
    </xf>
    <xf numFmtId="0" fontId="25" fillId="0" borderId="0" xfId="0" applyFont="1" applyAlignment="1">
      <alignment horizontal="left" vertical="center"/>
    </xf>
    <xf numFmtId="0" fontId="18" fillId="0" borderId="0" xfId="0" applyFont="1" applyAlignment="1">
      <alignment horizontal="left" vertical="center"/>
    </xf>
    <xf numFmtId="0" fontId="25" fillId="0" borderId="0" xfId="569" applyFont="1" applyAlignment="1">
      <alignment vertical="top"/>
    </xf>
    <xf numFmtId="0" fontId="19" fillId="0" borderId="0" xfId="244" applyAlignment="1"/>
    <xf numFmtId="0" fontId="25" fillId="0" borderId="0" xfId="0" applyFont="1" applyAlignment="1">
      <alignment vertical="top" wrapText="1"/>
    </xf>
    <xf numFmtId="49" fontId="25" fillId="0" borderId="0" xfId="0" applyNumberFormat="1" applyFont="1"/>
    <xf numFmtId="49" fontId="25" fillId="0" borderId="0" xfId="0" applyNumberFormat="1" applyFont="1" applyAlignment="1">
      <alignment vertical="top"/>
    </xf>
    <xf numFmtId="0" fontId="41" fillId="0" borderId="11" xfId="0" applyFont="1" applyBorder="1"/>
    <xf numFmtId="175" fontId="18" fillId="0" borderId="0" xfId="543" applyNumberFormat="1" applyAlignment="1">
      <alignment vertical="center"/>
    </xf>
    <xf numFmtId="0" fontId="99" fillId="43" borderId="6" xfId="4496" applyFont="1" applyFill="1" applyBorder="1" applyAlignment="1" applyProtection="1">
      <alignment horizontal="center"/>
      <protection locked="0"/>
    </xf>
    <xf numFmtId="0" fontId="99" fillId="0" borderId="0" xfId="4496" applyFont="1"/>
    <xf numFmtId="0" fontId="99" fillId="0" borderId="0" xfId="4496" applyFont="1" applyAlignment="1">
      <alignment wrapText="1"/>
    </xf>
    <xf numFmtId="0" fontId="138" fillId="0" borderId="0" xfId="4496" applyFont="1"/>
    <xf numFmtId="181" fontId="139" fillId="0" borderId="0" xfId="4498" applyNumberFormat="1" applyFont="1" applyBorder="1" applyProtection="1"/>
    <xf numFmtId="0" fontId="140" fillId="0" borderId="0" xfId="4496" applyFont="1" applyAlignment="1">
      <alignment vertical="center" wrapText="1"/>
    </xf>
    <xf numFmtId="49" fontId="99" fillId="0" borderId="0" xfId="4496" applyNumberFormat="1" applyFont="1" applyAlignment="1">
      <alignment horizontal="center"/>
    </xf>
    <xf numFmtId="182" fontId="99" fillId="0" borderId="6" xfId="4496" applyNumberFormat="1" applyFont="1" applyBorder="1"/>
    <xf numFmtId="0" fontId="99" fillId="0" borderId="0" xfId="4496" applyFont="1" applyAlignment="1">
      <alignment vertical="center"/>
    </xf>
    <xf numFmtId="182" fontId="99" fillId="0" borderId="0" xfId="4496" applyNumberFormat="1" applyFont="1" applyAlignment="1">
      <alignment vertical="center"/>
    </xf>
    <xf numFmtId="175" fontId="99" fillId="0" borderId="0" xfId="4499" applyNumberFormat="1" applyFont="1" applyFill="1" applyBorder="1" applyAlignment="1" applyProtection="1">
      <alignment horizontal="left" vertical="center"/>
    </xf>
    <xf numFmtId="9" fontId="99" fillId="0" borderId="0" xfId="4499" applyFont="1" applyFill="1" applyBorder="1" applyAlignment="1" applyProtection="1">
      <alignment vertical="center"/>
    </xf>
    <xf numFmtId="183" fontId="99" fillId="0" borderId="0" xfId="4496" applyNumberFormat="1" applyFont="1" applyAlignment="1">
      <alignment vertical="center" wrapText="1"/>
    </xf>
    <xf numFmtId="9" fontId="99" fillId="0" borderId="0" xfId="4499" applyFont="1" applyBorder="1" applyAlignment="1" applyProtection="1">
      <alignment vertical="center"/>
    </xf>
    <xf numFmtId="164" fontId="99" fillId="0" borderId="0" xfId="4496" applyNumberFormat="1" applyFont="1" applyAlignment="1">
      <alignment vertical="center" wrapText="1"/>
    </xf>
    <xf numFmtId="0" fontId="99" fillId="0" borderId="0" xfId="4496" applyFont="1" applyAlignment="1">
      <alignment horizontal="center" vertical="center"/>
    </xf>
    <xf numFmtId="182" fontId="99" fillId="0" borderId="11" xfId="8721" applyNumberFormat="1" applyFont="1" applyBorder="1" applyProtection="1"/>
    <xf numFmtId="182" fontId="99" fillId="0" borderId="11" xfId="4496" applyNumberFormat="1" applyFont="1" applyBorder="1"/>
    <xf numFmtId="164" fontId="99" fillId="0" borderId="0" xfId="4496" applyNumberFormat="1" applyFont="1" applyAlignment="1">
      <alignment wrapText="1"/>
    </xf>
    <xf numFmtId="49" fontId="99" fillId="0" borderId="0" xfId="4496" applyNumberFormat="1" applyFont="1" applyAlignment="1">
      <alignment horizontal="left"/>
    </xf>
    <xf numFmtId="0" fontId="141" fillId="0" borderId="0" xfId="4496" applyFont="1"/>
    <xf numFmtId="9" fontId="99" fillId="0" borderId="11" xfId="4494" applyFont="1" applyFill="1" applyBorder="1" applyAlignment="1" applyProtection="1">
      <alignment horizontal="right"/>
    </xf>
    <xf numFmtId="1" fontId="99" fillId="0" borderId="0" xfId="4496" applyNumberFormat="1" applyFont="1"/>
    <xf numFmtId="0" fontId="138" fillId="45" borderId="3" xfId="4496" applyFont="1" applyFill="1" applyBorder="1" applyAlignment="1">
      <alignment horizontal="left" indent="1"/>
    </xf>
    <xf numFmtId="0" fontId="99" fillId="45" borderId="4" xfId="4496" applyFont="1" applyFill="1" applyBorder="1"/>
    <xf numFmtId="2" fontId="99" fillId="45" borderId="5" xfId="4496" applyNumberFormat="1" applyFont="1" applyFill="1" applyBorder="1"/>
    <xf numFmtId="181" fontId="99" fillId="0" borderId="0" xfId="4496" applyNumberFormat="1" applyFont="1"/>
    <xf numFmtId="165" fontId="139" fillId="0" borderId="0" xfId="4499" applyNumberFormat="1" applyFont="1" applyFill="1" applyBorder="1" applyProtection="1"/>
    <xf numFmtId="9" fontId="99" fillId="0" borderId="0" xfId="4494" applyFont="1" applyFill="1" applyProtection="1"/>
    <xf numFmtId="0" fontId="99" fillId="0" borderId="11" xfId="4496" applyFont="1" applyBorder="1" applyAlignment="1">
      <alignment horizontal="center"/>
    </xf>
    <xf numFmtId="2" fontId="99" fillId="0" borderId="11" xfId="4496" applyNumberFormat="1" applyFont="1" applyBorder="1" applyAlignment="1">
      <alignment horizontal="center"/>
    </xf>
    <xf numFmtId="0" fontId="99" fillId="0" borderId="0" xfId="4496" applyFont="1" applyAlignment="1">
      <alignment vertical="top" wrapText="1"/>
    </xf>
    <xf numFmtId="0" fontId="99" fillId="0" borderId="11" xfId="4496" applyFont="1" applyBorder="1" applyAlignment="1">
      <alignment horizontal="center" vertical="top" wrapText="1"/>
    </xf>
    <xf numFmtId="182" fontId="99" fillId="0" borderId="0" xfId="8721" applyNumberFormat="1" applyFont="1" applyBorder="1" applyProtection="1"/>
    <xf numFmtId="0" fontId="99" fillId="0" borderId="0" xfId="4496" applyFont="1" applyAlignment="1">
      <alignment horizontal="left" indent="1"/>
    </xf>
    <xf numFmtId="182" fontId="99" fillId="0" borderId="0" xfId="4496" applyNumberFormat="1" applyFont="1"/>
    <xf numFmtId="184" fontId="99" fillId="0" borderId="0" xfId="4496" applyNumberFormat="1" applyFont="1"/>
    <xf numFmtId="0" fontId="99" fillId="0" borderId="0" xfId="4496" applyFont="1" applyAlignment="1">
      <alignment horizontal="left"/>
    </xf>
    <xf numFmtId="0" fontId="99" fillId="0" borderId="0" xfId="4496" applyFont="1" applyAlignment="1">
      <alignment horizontal="center"/>
    </xf>
    <xf numFmtId="3" fontId="23" fillId="0" borderId="11" xfId="271" applyNumberFormat="1" applyFont="1" applyBorder="1" applyAlignment="1">
      <alignment horizontal="center"/>
    </xf>
    <xf numFmtId="3" fontId="23" fillId="43" borderId="11" xfId="271" applyNumberFormat="1" applyFont="1" applyFill="1" applyBorder="1" applyProtection="1">
      <protection locked="0"/>
    </xf>
    <xf numFmtId="0" fontId="99" fillId="0" borderId="0" xfId="4496" applyFont="1" applyAlignment="1">
      <alignment horizontal="right"/>
    </xf>
    <xf numFmtId="168" fontId="27" fillId="0" borderId="0" xfId="0" applyNumberFormat="1" applyFont="1"/>
    <xf numFmtId="0" fontId="99" fillId="0" borderId="15" xfId="4496" applyFont="1" applyBorder="1" applyAlignment="1">
      <alignment horizontal="center" vertical="top" wrapText="1"/>
    </xf>
    <xf numFmtId="2" fontId="99" fillId="0" borderId="15" xfId="4496" applyNumberFormat="1" applyFont="1" applyBorder="1" applyAlignment="1">
      <alignment horizontal="center"/>
    </xf>
    <xf numFmtId="0" fontId="99" fillId="0" borderId="15" xfId="4496" applyFont="1" applyBorder="1" applyAlignment="1">
      <alignment horizontal="center"/>
    </xf>
    <xf numFmtId="0" fontId="138" fillId="0" borderId="68" xfId="4496" applyFont="1" applyBorder="1" applyAlignment="1">
      <alignment horizontal="center" vertical="top" wrapText="1"/>
    </xf>
    <xf numFmtId="0" fontId="138" fillId="0" borderId="68" xfId="4496" applyFont="1" applyBorder="1" applyAlignment="1">
      <alignment horizontal="center"/>
    </xf>
    <xf numFmtId="0" fontId="152" fillId="0" borderId="0" xfId="4496" applyFont="1" applyAlignment="1">
      <alignment horizontal="right" vertical="center"/>
    </xf>
    <xf numFmtId="175" fontId="99" fillId="0" borderId="0" xfId="4499" applyNumberFormat="1" applyFont="1" applyFill="1" applyBorder="1" applyAlignment="1" applyProtection="1">
      <alignment horizontal="right" vertical="center"/>
    </xf>
    <xf numFmtId="5" fontId="99" fillId="0" borderId="6" xfId="4496" applyNumberFormat="1" applyFont="1" applyBorder="1" applyAlignment="1">
      <alignment vertical="center"/>
    </xf>
    <xf numFmtId="0" fontId="99" fillId="0" borderId="66" xfId="4496" applyFont="1" applyBorder="1" applyAlignment="1">
      <alignment vertical="center"/>
    </xf>
    <xf numFmtId="0" fontId="99" fillId="0" borderId="41" xfId="4496" applyFont="1" applyBorder="1" applyAlignment="1">
      <alignment vertical="center"/>
    </xf>
    <xf numFmtId="182" fontId="99" fillId="0" borderId="73" xfId="4496" applyNumberFormat="1" applyFont="1" applyBorder="1" applyAlignment="1">
      <alignment vertical="center"/>
    </xf>
    <xf numFmtId="175" fontId="99" fillId="0" borderId="42" xfId="4499" applyNumberFormat="1" applyFont="1" applyFill="1" applyBorder="1" applyAlignment="1" applyProtection="1">
      <alignment horizontal="left" vertical="center"/>
    </xf>
    <xf numFmtId="0" fontId="99" fillId="0" borderId="42" xfId="4496" applyFont="1" applyBorder="1" applyAlignment="1">
      <alignment vertical="center"/>
    </xf>
    <xf numFmtId="0" fontId="99" fillId="0" borderId="44" xfId="4496" applyFont="1" applyBorder="1" applyAlignment="1">
      <alignment vertical="center"/>
    </xf>
    <xf numFmtId="49" fontId="99" fillId="0" borderId="0" xfId="4496" applyNumberFormat="1" applyFont="1" applyAlignment="1">
      <alignment horizontal="center" vertical="center"/>
    </xf>
    <xf numFmtId="0" fontId="99" fillId="0" borderId="65" xfId="4496" applyFont="1" applyBorder="1" applyAlignment="1">
      <alignment vertical="center"/>
    </xf>
    <xf numFmtId="0" fontId="99" fillId="0" borderId="29" xfId="4496" applyFont="1" applyBorder="1" applyAlignment="1">
      <alignment vertical="center"/>
    </xf>
    <xf numFmtId="0" fontId="99" fillId="0" borderId="29" xfId="4496" applyFont="1" applyBorder="1" applyAlignment="1">
      <alignment horizontal="right" vertical="center"/>
    </xf>
    <xf numFmtId="5" fontId="99" fillId="0" borderId="29" xfId="4496" applyNumberFormat="1" applyFont="1" applyBorder="1" applyAlignment="1">
      <alignment vertical="center"/>
    </xf>
    <xf numFmtId="0" fontId="99" fillId="0" borderId="31" xfId="4496" applyFont="1" applyBorder="1" applyAlignment="1">
      <alignment vertical="center"/>
    </xf>
    <xf numFmtId="175" fontId="138" fillId="0" borderId="42" xfId="4494" applyNumberFormat="1" applyFont="1" applyFill="1" applyBorder="1" applyAlignment="1" applyProtection="1">
      <alignment horizontal="center" vertical="center"/>
    </xf>
    <xf numFmtId="0" fontId="138" fillId="0" borderId="29" xfId="4496" applyFont="1" applyBorder="1" applyAlignment="1">
      <alignment vertical="center"/>
    </xf>
    <xf numFmtId="0" fontId="138" fillId="0" borderId="0" xfId="4496" applyFont="1" applyAlignment="1">
      <alignment vertical="center"/>
    </xf>
    <xf numFmtId="0" fontId="138" fillId="0" borderId="42" xfId="4496" applyFont="1" applyBorder="1" applyAlignment="1">
      <alignment vertical="center"/>
    </xf>
    <xf numFmtId="9" fontId="138" fillId="0" borderId="42" xfId="4499" applyFont="1" applyFill="1" applyBorder="1" applyAlignment="1" applyProtection="1">
      <alignment vertical="center"/>
    </xf>
    <xf numFmtId="182" fontId="138" fillId="0" borderId="68" xfId="8721" applyNumberFormat="1" applyFont="1" applyBorder="1" applyProtection="1"/>
    <xf numFmtId="182" fontId="138" fillId="0" borderId="68" xfId="4496" applyNumberFormat="1" applyFont="1" applyBorder="1"/>
    <xf numFmtId="0" fontId="152" fillId="0" borderId="0" xfId="4496" applyFont="1" applyAlignment="1">
      <alignment horizontal="right"/>
    </xf>
    <xf numFmtId="0" fontId="99" fillId="0" borderId="0" xfId="4496" applyFont="1" applyAlignment="1">
      <alignment horizontal="right" vertical="top" wrapText="1" indent="1"/>
    </xf>
    <xf numFmtId="182" fontId="99" fillId="0" borderId="6" xfId="8721" applyNumberFormat="1" applyFont="1" applyBorder="1" applyAlignment="1" applyProtection="1">
      <alignment horizontal="center"/>
    </xf>
    <xf numFmtId="0" fontId="99" fillId="0" borderId="0" xfId="4496" applyFont="1" applyAlignment="1">
      <alignment horizontal="right" indent="1"/>
    </xf>
    <xf numFmtId="0" fontId="99" fillId="0" borderId="0" xfId="4496" applyFont="1" applyAlignment="1">
      <alignment horizontal="right" vertical="top"/>
    </xf>
    <xf numFmtId="0" fontId="138" fillId="0" borderId="0" xfId="4496" applyFont="1" applyAlignment="1">
      <alignment horizontal="right"/>
    </xf>
    <xf numFmtId="182" fontId="138" fillId="0" borderId="0" xfId="8721" applyNumberFormat="1" applyFont="1" applyBorder="1" applyAlignment="1" applyProtection="1">
      <alignment horizontal="center"/>
    </xf>
    <xf numFmtId="10" fontId="99" fillId="0" borderId="0" xfId="4494" applyNumberFormat="1" applyFont="1" applyBorder="1" applyAlignment="1" applyProtection="1">
      <alignment horizontal="center"/>
    </xf>
    <xf numFmtId="184" fontId="99" fillId="0" borderId="6" xfId="4496" applyNumberFormat="1" applyFont="1" applyBorder="1"/>
    <xf numFmtId="0" fontId="138" fillId="0" borderId="0" xfId="4496" applyFont="1" applyAlignment="1">
      <alignment horizontal="right" vertical="top"/>
    </xf>
    <xf numFmtId="182" fontId="138" fillId="0" borderId="0" xfId="4496" applyNumberFormat="1" applyFont="1"/>
    <xf numFmtId="182" fontId="99" fillId="0" borderId="6" xfId="8721" applyNumberFormat="1" applyFont="1" applyBorder="1" applyProtection="1"/>
    <xf numFmtId="184" fontId="99" fillId="0" borderId="0" xfId="4496" applyNumberFormat="1" applyFont="1" applyAlignment="1">
      <alignment horizontal="center"/>
    </xf>
    <xf numFmtId="0" fontId="99" fillId="0" borderId="6" xfId="4496" applyFont="1" applyBorder="1" applyAlignment="1">
      <alignment horizontal="right" vertical="top" wrapText="1" indent="1"/>
    </xf>
    <xf numFmtId="0" fontId="99" fillId="0" borderId="67" xfId="4496" applyFont="1" applyBorder="1" applyAlignment="1">
      <alignment horizontal="right" indent="1"/>
    </xf>
    <xf numFmtId="0" fontId="99" fillId="0" borderId="72" xfId="4496" applyFont="1" applyBorder="1" applyAlignment="1">
      <alignment horizontal="right" indent="1"/>
    </xf>
    <xf numFmtId="0" fontId="99" fillId="0" borderId="72" xfId="4496" quotePrefix="1" applyFont="1" applyBorder="1" applyAlignment="1">
      <alignment horizontal="right" indent="1"/>
    </xf>
    <xf numFmtId="0" fontId="99" fillId="0" borderId="69" xfId="4496" applyFont="1" applyBorder="1" applyAlignment="1">
      <alignment horizontal="right" indent="1"/>
    </xf>
    <xf numFmtId="182" fontId="99" fillId="0" borderId="71" xfId="4496" applyNumberFormat="1" applyFont="1" applyBorder="1"/>
    <xf numFmtId="182" fontId="99" fillId="0" borderId="76" xfId="4496" applyNumberFormat="1" applyFont="1" applyBorder="1"/>
    <xf numFmtId="182" fontId="99" fillId="0" borderId="77" xfId="4496" applyNumberFormat="1" applyFont="1" applyBorder="1"/>
    <xf numFmtId="175" fontId="25" fillId="0" borderId="0" xfId="543" applyNumberFormat="1" applyFont="1" applyAlignment="1">
      <alignment vertical="center"/>
    </xf>
    <xf numFmtId="10" fontId="138" fillId="0" borderId="0" xfId="4494" applyNumberFormat="1" applyFont="1" applyProtection="1"/>
    <xf numFmtId="0" fontId="25" fillId="0" borderId="0" xfId="1192" applyFont="1" applyAlignment="1">
      <alignment horizontal="left" indent="1"/>
    </xf>
    <xf numFmtId="168" fontId="99" fillId="0" borderId="11" xfId="4499" applyNumberFormat="1" applyFont="1" applyFill="1" applyBorder="1" applyAlignment="1" applyProtection="1">
      <alignment horizontal="left" vertical="center" indent="1"/>
    </xf>
    <xf numFmtId="168" fontId="138" fillId="0" borderId="68" xfId="4499" applyNumberFormat="1" applyFont="1" applyFill="1" applyBorder="1" applyAlignment="1" applyProtection="1">
      <alignment horizontal="left" vertical="center" indent="1"/>
    </xf>
    <xf numFmtId="182" fontId="99" fillId="0" borderId="13" xfId="4496" applyNumberFormat="1" applyFont="1" applyBorder="1"/>
    <xf numFmtId="182" fontId="99" fillId="0" borderId="70" xfId="4496" applyNumberFormat="1" applyFont="1" applyBorder="1"/>
    <xf numFmtId="0" fontId="36" fillId="0" borderId="0" xfId="4495" applyFont="1" applyAlignment="1">
      <alignment vertical="center"/>
    </xf>
    <xf numFmtId="0" fontId="123" fillId="0" borderId="0" xfId="4496" applyFont="1" applyAlignment="1">
      <alignment vertical="center" wrapText="1"/>
    </xf>
    <xf numFmtId="0" fontId="23" fillId="43" borderId="0" xfId="1192" applyFont="1" applyFill="1"/>
    <xf numFmtId="3" fontId="69" fillId="43" borderId="6" xfId="1192" applyNumberFormat="1" applyFont="1" applyFill="1" applyBorder="1"/>
    <xf numFmtId="0" fontId="154" fillId="0" borderId="0" xfId="0" applyFont="1"/>
    <xf numFmtId="0" fontId="23" fillId="0" borderId="11" xfId="253" applyFont="1" applyBorder="1" applyAlignment="1" applyProtection="1">
      <alignment horizontal="center" wrapText="1"/>
      <protection locked="0"/>
    </xf>
    <xf numFmtId="0" fontId="155" fillId="0" borderId="0" xfId="0" applyFont="1"/>
    <xf numFmtId="0" fontId="156" fillId="0" borderId="0" xfId="0" applyFont="1" applyAlignment="1">
      <alignment horizontal="center"/>
    </xf>
    <xf numFmtId="0" fontId="54" fillId="5" borderId="11" xfId="0" applyFont="1" applyFill="1" applyBorder="1" applyAlignment="1" applyProtection="1">
      <alignment horizontal="right" vertical="top" wrapText="1"/>
      <protection locked="0"/>
    </xf>
    <xf numFmtId="0" fontId="18" fillId="43" borderId="3" xfId="569" applyFill="1" applyBorder="1"/>
    <xf numFmtId="0" fontId="159" fillId="0" borderId="0" xfId="0" applyFont="1" applyAlignment="1">
      <alignment horizontal="right"/>
    </xf>
    <xf numFmtId="1" fontId="26" fillId="0" borderId="0" xfId="4495" applyNumberFormat="1" applyFont="1"/>
    <xf numFmtId="0" fontId="25" fillId="0" borderId="4" xfId="569" applyFont="1" applyBorder="1" applyAlignment="1">
      <alignment horizontal="center"/>
    </xf>
    <xf numFmtId="43" fontId="25" fillId="0" borderId="0" xfId="4503" applyFont="1" applyAlignment="1" applyProtection="1">
      <alignment horizontal="center"/>
    </xf>
    <xf numFmtId="0" fontId="25" fillId="0" borderId="0" xfId="569" applyFont="1" applyAlignment="1">
      <alignment horizontal="center" vertical="center"/>
    </xf>
    <xf numFmtId="0" fontId="25" fillId="0" borderId="16" xfId="569" applyFont="1" applyBorder="1" applyAlignment="1">
      <alignment horizontal="center"/>
    </xf>
    <xf numFmtId="49" fontId="25" fillId="0" borderId="4" xfId="569" applyNumberFormat="1" applyFont="1" applyBorder="1" applyAlignment="1">
      <alignment horizontal="center"/>
    </xf>
    <xf numFmtId="4" fontId="25" fillId="0" borderId="0" xfId="569" applyNumberFormat="1" applyFont="1" applyAlignment="1">
      <alignment horizontal="center"/>
    </xf>
    <xf numFmtId="0" fontId="18" fillId="0" borderId="0" xfId="569" applyAlignment="1">
      <alignment horizontal="center" wrapText="1"/>
    </xf>
    <xf numFmtId="0" fontId="99" fillId="0" borderId="6" xfId="4496" applyFont="1" applyBorder="1" applyAlignment="1">
      <alignment horizontal="left" vertical="top"/>
    </xf>
    <xf numFmtId="0" fontId="18" fillId="0" borderId="0" xfId="0" applyFont="1" applyAlignment="1">
      <alignment vertical="center" wrapText="1"/>
    </xf>
    <xf numFmtId="3" fontId="23" fillId="43" borderId="11" xfId="271" applyNumberFormat="1" applyFont="1" applyFill="1" applyBorder="1" applyAlignment="1" applyProtection="1">
      <alignment horizontal="left"/>
      <protection locked="0"/>
    </xf>
    <xf numFmtId="0" fontId="99" fillId="43" borderId="6" xfId="4496" applyFont="1" applyFill="1" applyBorder="1" applyProtection="1">
      <protection locked="0"/>
    </xf>
    <xf numFmtId="1" fontId="99" fillId="0" borderId="0" xfId="4496" applyNumberFormat="1" applyFont="1" applyProtection="1">
      <protection locked="0"/>
    </xf>
    <xf numFmtId="182" fontId="164" fillId="0" borderId="11" xfId="4496" applyNumberFormat="1" applyFont="1" applyBorder="1"/>
    <xf numFmtId="44" fontId="99" fillId="0" borderId="0" xfId="4496" applyNumberFormat="1" applyFont="1"/>
    <xf numFmtId="182" fontId="23" fillId="0" borderId="11" xfId="4496" applyNumberFormat="1" applyFont="1" applyBorder="1"/>
    <xf numFmtId="9" fontId="99" fillId="0" borderId="0" xfId="4494" applyFont="1"/>
    <xf numFmtId="182" fontId="99" fillId="43" borderId="6" xfId="8721" applyNumberFormat="1" applyFont="1" applyFill="1" applyBorder="1" applyProtection="1">
      <protection locked="0"/>
    </xf>
    <xf numFmtId="0" fontId="18" fillId="0" borderId="0" xfId="4495" applyFont="1" applyAlignment="1">
      <alignment wrapText="1"/>
    </xf>
    <xf numFmtId="168" fontId="176" fillId="48" borderId="79" xfId="700" applyNumberFormat="1" applyFont="1" applyFill="1" applyBorder="1" applyAlignment="1" applyProtection="1">
      <protection locked="0"/>
    </xf>
    <xf numFmtId="3" fontId="46" fillId="10" borderId="0" xfId="543" applyNumberFormat="1" applyFont="1" applyFill="1" applyAlignment="1">
      <alignment vertical="center" wrapText="1"/>
    </xf>
    <xf numFmtId="0" fontId="183" fillId="0" borderId="0" xfId="543" applyFont="1" applyAlignment="1">
      <alignment horizontal="left" vertical="center"/>
    </xf>
    <xf numFmtId="0" fontId="184" fillId="0" borderId="0" xfId="543" applyFont="1" applyAlignment="1">
      <alignment horizontal="right" vertical="top" wrapText="1"/>
    </xf>
    <xf numFmtId="168" fontId="184" fillId="0" borderId="0" xfId="543" applyNumberFormat="1" applyFont="1" applyAlignment="1">
      <alignment horizontal="center" vertical="center"/>
    </xf>
    <xf numFmtId="0" fontId="185" fillId="0" borderId="0" xfId="543" applyFont="1" applyAlignment="1">
      <alignment horizontal="left" vertical="center"/>
    </xf>
    <xf numFmtId="0" fontId="185" fillId="0" borderId="0" xfId="543" applyFont="1" applyAlignment="1">
      <alignment horizontal="right" vertical="top" wrapText="1"/>
    </xf>
    <xf numFmtId="168" fontId="184" fillId="0" borderId="104" xfId="543" applyNumberFormat="1" applyFont="1" applyBorder="1" applyAlignment="1">
      <alignment horizontal="center" vertical="center"/>
    </xf>
    <xf numFmtId="0" fontId="185" fillId="0" borderId="106" xfId="543" applyFont="1" applyBorder="1" applyAlignment="1">
      <alignment horizontal="right" vertical="top" wrapText="1"/>
    </xf>
    <xf numFmtId="0" fontId="25" fillId="0" borderId="0" xfId="4495" applyFont="1" applyAlignment="1">
      <alignment wrapText="1"/>
    </xf>
    <xf numFmtId="182" fontId="18" fillId="0" borderId="0" xfId="700" applyNumberFormat="1" applyFont="1"/>
    <xf numFmtId="9" fontId="18" fillId="0" borderId="0" xfId="1022" applyFont="1"/>
    <xf numFmtId="168" fontId="18"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3" fillId="0" borderId="0" xfId="8733"/>
    <xf numFmtId="0" fontId="104" fillId="0" borderId="0" xfId="8733" applyFont="1"/>
    <xf numFmtId="0" fontId="3" fillId="47" borderId="66" xfId="8733" applyFill="1" applyBorder="1"/>
    <xf numFmtId="0" fontId="3" fillId="47" borderId="0" xfId="8733" applyFill="1"/>
    <xf numFmtId="0" fontId="103" fillId="47" borderId="41" xfId="8733" applyFont="1" applyFill="1" applyBorder="1" applyAlignment="1">
      <alignment horizontal="center"/>
    </xf>
    <xf numFmtId="0" fontId="103" fillId="47" borderId="0" xfId="8733" applyFont="1" applyFill="1"/>
    <xf numFmtId="182" fontId="175" fillId="47" borderId="0" xfId="8734" applyNumberFormat="1" applyFont="1" applyFill="1" applyBorder="1" applyAlignment="1"/>
    <xf numFmtId="0" fontId="3" fillId="47" borderId="41" xfId="8733" applyFill="1" applyBorder="1"/>
    <xf numFmtId="0" fontId="104" fillId="47" borderId="0" xfId="8733" applyFont="1" applyFill="1"/>
    <xf numFmtId="0" fontId="179" fillId="47" borderId="0" xfId="8733" applyFont="1" applyFill="1"/>
    <xf numFmtId="0" fontId="103" fillId="47" borderId="41" xfId="8733" applyFont="1" applyFill="1" applyBorder="1"/>
    <xf numFmtId="0" fontId="103" fillId="0" borderId="0" xfId="8733" applyFont="1"/>
    <xf numFmtId="0" fontId="103" fillId="54" borderId="100" xfId="8733" applyFont="1" applyFill="1" applyBorder="1"/>
    <xf numFmtId="0" fontId="3" fillId="53" borderId="99" xfId="8733" applyFill="1" applyBorder="1"/>
    <xf numFmtId="0" fontId="3" fillId="52" borderId="99" xfId="8733" applyFill="1" applyBorder="1"/>
    <xf numFmtId="0" fontId="103" fillId="45" borderId="65" xfId="8733" applyFont="1" applyFill="1" applyBorder="1"/>
    <xf numFmtId="0" fontId="3" fillId="45" borderId="80" xfId="8733" applyFill="1" applyBorder="1"/>
    <xf numFmtId="0" fontId="3" fillId="45" borderId="79" xfId="8733" applyFill="1" applyBorder="1"/>
    <xf numFmtId="0" fontId="3" fillId="45" borderId="78" xfId="8733" applyFill="1" applyBorder="1"/>
    <xf numFmtId="0" fontId="103" fillId="45" borderId="0" xfId="8733" applyFont="1" applyFill="1"/>
    <xf numFmtId="0" fontId="103" fillId="45" borderId="12" xfId="8733" applyFont="1" applyFill="1" applyBorder="1"/>
    <xf numFmtId="0" fontId="103" fillId="45" borderId="29" xfId="8733" applyFont="1" applyFill="1" applyBorder="1"/>
    <xf numFmtId="0" fontId="103" fillId="45" borderId="80" xfId="8733" applyFont="1" applyFill="1" applyBorder="1"/>
    <xf numFmtId="0" fontId="103" fillId="45" borderId="79" xfId="8733" applyFont="1" applyFill="1" applyBorder="1"/>
    <xf numFmtId="0" fontId="103" fillId="45" borderId="78" xfId="8733" applyFont="1" applyFill="1" applyBorder="1"/>
    <xf numFmtId="0" fontId="103" fillId="45" borderId="93" xfId="8733" applyFont="1" applyFill="1" applyBorder="1"/>
    <xf numFmtId="0" fontId="103" fillId="45" borderId="6" xfId="8733" applyFont="1" applyFill="1" applyBorder="1"/>
    <xf numFmtId="0" fontId="103" fillId="45" borderId="10" xfId="8733" applyFont="1" applyFill="1" applyBorder="1"/>
    <xf numFmtId="0" fontId="3" fillId="45" borderId="29" xfId="8733" applyFill="1" applyBorder="1"/>
    <xf numFmtId="0" fontId="3" fillId="45" borderId="31" xfId="8733" applyFill="1" applyBorder="1"/>
    <xf numFmtId="0" fontId="103" fillId="45" borderId="92" xfId="8733" applyFont="1" applyFill="1" applyBorder="1"/>
    <xf numFmtId="0" fontId="103" fillId="45" borderId="74" xfId="8733" applyFont="1" applyFill="1" applyBorder="1"/>
    <xf numFmtId="0" fontId="174" fillId="45" borderId="87" xfId="8733" applyFont="1" applyFill="1" applyBorder="1"/>
    <xf numFmtId="0" fontId="3" fillId="45" borderId="87" xfId="8733" applyFill="1" applyBorder="1"/>
    <xf numFmtId="0" fontId="3" fillId="45" borderId="86" xfId="8733" applyFill="1" applyBorder="1"/>
    <xf numFmtId="0" fontId="3" fillId="45" borderId="95" xfId="8733" applyFill="1" applyBorder="1"/>
    <xf numFmtId="0" fontId="181" fillId="47" borderId="0" xfId="8733" applyFont="1" applyFill="1"/>
    <xf numFmtId="0" fontId="103" fillId="45" borderId="31" xfId="8733" applyFont="1" applyFill="1" applyBorder="1"/>
    <xf numFmtId="0" fontId="3" fillId="47" borderId="0" xfId="8733" applyFill="1" applyAlignment="1">
      <alignment horizontal="left"/>
    </xf>
    <xf numFmtId="0" fontId="173" fillId="51" borderId="11" xfId="8733" applyFont="1" applyFill="1" applyBorder="1"/>
    <xf numFmtId="0" fontId="173" fillId="51" borderId="76" xfId="8733" applyFont="1" applyFill="1" applyBorder="1"/>
    <xf numFmtId="0" fontId="174" fillId="51" borderId="11" xfId="8733" applyFont="1" applyFill="1" applyBorder="1" applyAlignment="1">
      <alignment horizontal="center"/>
    </xf>
    <xf numFmtId="0" fontId="174" fillId="51" borderId="76" xfId="8733" applyFont="1" applyFill="1" applyBorder="1" applyAlignment="1">
      <alignment horizontal="center"/>
    </xf>
    <xf numFmtId="0" fontId="3" fillId="48" borderId="66" xfId="8733" applyFill="1" applyBorder="1"/>
    <xf numFmtId="0" fontId="3" fillId="48" borderId="0" xfId="8733" applyFill="1"/>
    <xf numFmtId="0" fontId="3" fillId="48" borderId="78" xfId="8733" applyFill="1" applyBorder="1"/>
    <xf numFmtId="0" fontId="103" fillId="47" borderId="66" xfId="8733" applyFont="1" applyFill="1" applyBorder="1"/>
    <xf numFmtId="49" fontId="103" fillId="47" borderId="66" xfId="8733" applyNumberFormat="1" applyFont="1" applyFill="1" applyBorder="1" applyAlignment="1">
      <alignment horizontal="right" vertical="top"/>
    </xf>
    <xf numFmtId="0" fontId="3" fillId="47" borderId="73" xfId="8733" applyFill="1" applyBorder="1"/>
    <xf numFmtId="0" fontId="3" fillId="47" borderId="42" xfId="8733" applyFill="1" applyBorder="1"/>
    <xf numFmtId="0" fontId="3" fillId="47" borderId="44" xfId="8733" applyFill="1" applyBorder="1"/>
    <xf numFmtId="0" fontId="3" fillId="44" borderId="66" xfId="8733" applyFill="1" applyBorder="1"/>
    <xf numFmtId="0" fontId="3" fillId="44" borderId="0" xfId="8733" applyFill="1"/>
    <xf numFmtId="0" fontId="3" fillId="44" borderId="41" xfId="8733" applyFill="1" applyBorder="1"/>
    <xf numFmtId="0" fontId="3" fillId="44" borderId="0" xfId="8733" applyFill="1" applyAlignment="1">
      <alignment horizontal="left"/>
    </xf>
    <xf numFmtId="0" fontId="3" fillId="44" borderId="73" xfId="8733" applyFill="1" applyBorder="1"/>
    <xf numFmtId="0" fontId="3" fillId="44" borderId="42" xfId="8733" applyFill="1" applyBorder="1"/>
    <xf numFmtId="0" fontId="3" fillId="44" borderId="44" xfId="8733" applyFill="1" applyBorder="1"/>
    <xf numFmtId="0" fontId="165" fillId="0" borderId="0" xfId="8733" applyFont="1"/>
    <xf numFmtId="168" fontId="0" fillId="0" borderId="0" xfId="0" applyNumberFormat="1"/>
    <xf numFmtId="0" fontId="123" fillId="52" borderId="113" xfId="0" applyFont="1" applyFill="1" applyBorder="1"/>
    <xf numFmtId="0" fontId="123" fillId="53" borderId="113" xfId="0" applyFont="1" applyFill="1" applyBorder="1"/>
    <xf numFmtId="1" fontId="0" fillId="0" borderId="0" xfId="0" applyNumberFormat="1"/>
    <xf numFmtId="0" fontId="19"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9" fillId="0" borderId="0" xfId="244" applyAlignment="1">
      <alignment horizontal="left" vertical="top"/>
    </xf>
    <xf numFmtId="9" fontId="18" fillId="0" borderId="0" xfId="0" applyNumberFormat="1" applyFont="1"/>
    <xf numFmtId="0" fontId="170" fillId="0" borderId="0" xfId="8733" applyFont="1"/>
    <xf numFmtId="0" fontId="167" fillId="0" borderId="0" xfId="8733" applyFont="1"/>
    <xf numFmtId="185" fontId="170" fillId="0" borderId="0" xfId="698" applyNumberFormat="1" applyFont="1"/>
    <xf numFmtId="10" fontId="170" fillId="0" borderId="0" xfId="1022" applyNumberFormat="1" applyFont="1"/>
    <xf numFmtId="0" fontId="24" fillId="3" borderId="0" xfId="0" applyFont="1" applyFill="1" applyAlignment="1">
      <alignment horizontal="center" vertical="center" wrapText="1"/>
    </xf>
    <xf numFmtId="0" fontId="24" fillId="3" borderId="16" xfId="0" applyFont="1" applyFill="1" applyBorder="1" applyAlignment="1">
      <alignment horizontal="center" vertical="center" wrapText="1"/>
    </xf>
    <xf numFmtId="0" fontId="18" fillId="0" borderId="0" xfId="0" applyFont="1" applyAlignment="1">
      <alignment horizontal="left" vertical="top" wrapText="1"/>
    </xf>
    <xf numFmtId="0" fontId="106" fillId="0" borderId="0" xfId="0" applyFont="1" applyAlignment="1">
      <alignment horizontal="left" vertical="top" wrapText="1"/>
    </xf>
    <xf numFmtId="0" fontId="19" fillId="0" borderId="0" xfId="244" applyAlignment="1">
      <alignment horizontal="left" vertical="top"/>
    </xf>
    <xf numFmtId="0" fontId="47" fillId="0" borderId="0" xfId="0" applyFont="1" applyAlignment="1">
      <alignment horizontal="left" vertical="top" wrapText="1"/>
    </xf>
    <xf numFmtId="0" fontId="114" fillId="0" borderId="0" xfId="0" applyFont="1" applyAlignment="1">
      <alignment horizontal="left" wrapText="1"/>
    </xf>
    <xf numFmtId="0" fontId="18" fillId="0" borderId="0" xfId="0" applyFont="1" applyAlignment="1">
      <alignment horizontal="left" wrapText="1"/>
    </xf>
    <xf numFmtId="0" fontId="27" fillId="0" borderId="0" xfId="0" applyFont="1" applyAlignment="1">
      <alignment horizontal="left" wrapText="1"/>
    </xf>
    <xf numFmtId="0" fontId="19" fillId="0" borderId="0" xfId="244" applyAlignment="1" applyProtection="1">
      <alignment horizontal="left"/>
    </xf>
    <xf numFmtId="0" fontId="19" fillId="0" borderId="0" xfId="244"/>
    <xf numFmtId="0" fontId="0" fillId="0" borderId="0" xfId="0"/>
    <xf numFmtId="0" fontId="18" fillId="0" borderId="0" xfId="1192" applyAlignment="1">
      <alignment horizontal="left" vertical="top" wrapText="1"/>
    </xf>
    <xf numFmtId="0" fontId="25" fillId="0" borderId="0" xfId="0" applyFont="1" applyAlignment="1">
      <alignment horizontal="left" vertical="top" wrapText="1"/>
    </xf>
    <xf numFmtId="0" fontId="115" fillId="0" borderId="0" xfId="569" applyFont="1" applyAlignment="1">
      <alignment horizontal="center"/>
    </xf>
    <xf numFmtId="0" fontId="116" fillId="0" borderId="0" xfId="569" applyFont="1"/>
    <xf numFmtId="0" fontId="18" fillId="0" borderId="0" xfId="569" applyAlignment="1">
      <alignment wrapText="1"/>
    </xf>
    <xf numFmtId="0" fontId="25" fillId="0" borderId="0" xfId="569" applyFont="1" applyAlignment="1">
      <alignment wrapText="1"/>
    </xf>
    <xf numFmtId="0" fontId="33" fillId="0" borderId="0" xfId="569" applyFont="1" applyAlignment="1">
      <alignment horizontal="center"/>
    </xf>
    <xf numFmtId="0" fontId="18" fillId="0" borderId="0" xfId="569"/>
    <xf numFmtId="0" fontId="18" fillId="0" borderId="0" xfId="1192" applyAlignment="1">
      <alignment vertical="top" wrapText="1"/>
    </xf>
    <xf numFmtId="4" fontId="18" fillId="0" borderId="0" xfId="569" applyNumberFormat="1" applyAlignment="1">
      <alignment horizontal="left"/>
    </xf>
    <xf numFmtId="0" fontId="36" fillId="0" borderId="0" xfId="569" applyFont="1" applyAlignment="1">
      <alignment horizontal="left" vertical="top"/>
    </xf>
    <xf numFmtId="4" fontId="36" fillId="0" borderId="0" xfId="0" applyNumberFormat="1" applyFont="1" applyAlignment="1">
      <alignment horizontal="left"/>
    </xf>
    <xf numFmtId="4" fontId="18" fillId="0" borderId="0" xfId="0" applyNumberFormat="1" applyFont="1" applyAlignment="1">
      <alignment horizontal="left"/>
    </xf>
    <xf numFmtId="0" fontId="25" fillId="0" borderId="4" xfId="0" applyFont="1" applyBorder="1" applyAlignment="1">
      <alignment horizontal="left"/>
    </xf>
    <xf numFmtId="0" fontId="36" fillId="0" borderId="0" xfId="0" applyFont="1" applyAlignment="1">
      <alignment horizontal="left" vertical="top"/>
    </xf>
    <xf numFmtId="0" fontId="18" fillId="0" borderId="0" xfId="0" applyFont="1" applyAlignment="1">
      <alignment horizontal="left" vertical="top"/>
    </xf>
    <xf numFmtId="0" fontId="18" fillId="0" borderId="0" xfId="0" applyFont="1" applyAlignment="1">
      <alignment horizontal="left"/>
    </xf>
    <xf numFmtId="49" fontId="18" fillId="0" borderId="0" xfId="0" applyNumberFormat="1" applyFont="1" applyAlignment="1">
      <alignment horizontal="left" vertical="top" wrapText="1"/>
    </xf>
    <xf numFmtId="0" fontId="18" fillId="0" borderId="0" xfId="0" applyFont="1" applyAlignment="1">
      <alignment horizontal="left" vertical="center" wrapText="1"/>
    </xf>
    <xf numFmtId="0" fontId="18" fillId="0" borderId="0" xfId="569" applyAlignment="1">
      <alignment horizontal="left" wrapText="1"/>
    </xf>
    <xf numFmtId="0" fontId="18" fillId="0" borderId="0" xfId="0" applyFont="1" applyAlignment="1">
      <alignment vertical="top" wrapText="1"/>
    </xf>
    <xf numFmtId="0" fontId="19" fillId="0" borderId="0" xfId="244" applyFill="1" applyBorder="1" applyAlignment="1">
      <alignment horizontal="left" vertical="top" wrapText="1"/>
    </xf>
    <xf numFmtId="4" fontId="18" fillId="0" borderId="0" xfId="0" applyNumberFormat="1" applyFont="1" applyAlignment="1">
      <alignment horizontal="left" vertical="top" wrapText="1"/>
    </xf>
    <xf numFmtId="0" fontId="36" fillId="0" borderId="0" xfId="0" applyFont="1" applyAlignment="1">
      <alignment horizontal="left"/>
    </xf>
    <xf numFmtId="0" fontId="25" fillId="0" borderId="0" xfId="0" applyFont="1" applyAlignment="1">
      <alignment vertical="top" wrapText="1"/>
    </xf>
    <xf numFmtId="0" fontId="25" fillId="0" borderId="0" xfId="1192" applyFont="1" applyAlignment="1">
      <alignment horizontal="left" vertical="top" wrapText="1"/>
    </xf>
    <xf numFmtId="4" fontId="36" fillId="0" borderId="0" xfId="569" applyNumberFormat="1" applyFont="1" applyAlignment="1">
      <alignment horizontal="left" vertical="top" wrapText="1"/>
    </xf>
    <xf numFmtId="0" fontId="18" fillId="0" borderId="0" xfId="569" applyAlignment="1">
      <alignment horizontal="left"/>
    </xf>
    <xf numFmtId="0" fontId="25" fillId="0" borderId="4" xfId="569" applyFont="1" applyBorder="1" applyAlignment="1">
      <alignment horizontal="left" vertical="top"/>
    </xf>
    <xf numFmtId="0" fontId="18" fillId="0" borderId="0" xfId="569" applyAlignment="1">
      <alignment horizontal="left" vertical="top" wrapText="1"/>
    </xf>
    <xf numFmtId="0" fontId="19" fillId="0" borderId="0" xfId="244" quotePrefix="1" applyAlignment="1" applyProtection="1">
      <alignment horizontal="left"/>
    </xf>
    <xf numFmtId="0" fontId="18" fillId="0" borderId="0" xfId="569" applyAlignment="1">
      <alignment horizontal="left" vertical="top"/>
    </xf>
    <xf numFmtId="0" fontId="18" fillId="0" borderId="0" xfId="0" quotePrefix="1" applyFont="1" applyAlignment="1">
      <alignment horizontal="left" vertical="top"/>
    </xf>
    <xf numFmtId="0" fontId="36" fillId="0" borderId="0" xfId="0" applyFont="1" applyAlignment="1">
      <alignment horizontal="left" vertical="top" wrapText="1"/>
    </xf>
    <xf numFmtId="0" fontId="18" fillId="0" borderId="0" xfId="0" quotePrefix="1" applyFont="1" applyAlignment="1">
      <alignment horizontal="left" vertical="top" wrapText="1"/>
    </xf>
    <xf numFmtId="4" fontId="18" fillId="0" borderId="0" xfId="569" applyNumberFormat="1" applyAlignment="1">
      <alignment horizontal="left" vertical="top" wrapText="1"/>
    </xf>
    <xf numFmtId="0" fontId="25" fillId="0" borderId="4" xfId="569" applyFont="1" applyBorder="1" applyAlignment="1">
      <alignment horizontal="left"/>
    </xf>
    <xf numFmtId="0" fontId="36" fillId="0" borderId="0" xfId="569" applyFont="1" applyAlignment="1">
      <alignment horizontal="left"/>
    </xf>
    <xf numFmtId="0" fontId="18" fillId="0" borderId="0" xfId="1192" applyAlignment="1" applyProtection="1">
      <alignment horizontal="left" vertical="top" wrapText="1"/>
      <protection locked="0"/>
    </xf>
    <xf numFmtId="0" fontId="0" fillId="0" borderId="0" xfId="0" applyAlignment="1">
      <alignment horizontal="left" vertical="top" wrapText="1"/>
    </xf>
    <xf numFmtId="0" fontId="36" fillId="0" borderId="0" xfId="1192" applyFont="1" applyAlignment="1">
      <alignment horizontal="left" vertical="top" wrapText="1"/>
    </xf>
    <xf numFmtId="4" fontId="18" fillId="0" borderId="0" xfId="1192" applyNumberFormat="1" applyAlignment="1">
      <alignment horizontal="left" vertical="top" wrapText="1"/>
    </xf>
    <xf numFmtId="0" fontId="18" fillId="0" borderId="0" xfId="569" applyAlignment="1">
      <alignment vertical="top" wrapText="1"/>
    </xf>
    <xf numFmtId="4" fontId="36" fillId="0" borderId="0" xfId="0" applyNumberFormat="1" applyFont="1" applyAlignment="1">
      <alignment horizontal="left" vertical="top" wrapText="1"/>
    </xf>
    <xf numFmtId="0" fontId="25" fillId="0" borderId="4" xfId="0" applyFont="1" applyBorder="1" applyAlignment="1">
      <alignment horizontal="left" vertical="top"/>
    </xf>
    <xf numFmtId="0" fontId="36" fillId="0" borderId="0" xfId="569" applyFont="1" applyAlignment="1">
      <alignment horizontal="left" vertical="top" wrapText="1"/>
    </xf>
    <xf numFmtId="0" fontId="18" fillId="0" borderId="0" xfId="1192" applyAlignment="1">
      <alignment horizontal="left"/>
    </xf>
    <xf numFmtId="0" fontId="25" fillId="0" borderId="0" xfId="569" applyFont="1" applyAlignment="1">
      <alignment horizontal="center"/>
    </xf>
    <xf numFmtId="0" fontId="19" fillId="0" borderId="0" xfId="244" applyNumberFormat="1" applyFill="1" applyAlignment="1" applyProtection="1">
      <alignment horizontal="left"/>
    </xf>
    <xf numFmtId="0" fontId="36" fillId="0" borderId="0" xfId="569" applyFont="1" applyAlignment="1">
      <alignment horizontal="left" wrapText="1"/>
    </xf>
    <xf numFmtId="0" fontId="36" fillId="0" borderId="0" xfId="569" applyFont="1" applyAlignment="1">
      <alignment horizontal="center" wrapText="1"/>
    </xf>
    <xf numFmtId="49" fontId="18" fillId="0" borderId="0" xfId="1192" applyNumberFormat="1" applyAlignment="1">
      <alignment horizontal="left" vertical="top" wrapText="1"/>
    </xf>
    <xf numFmtId="0" fontId="18" fillId="0" borderId="0" xfId="569" applyAlignment="1">
      <alignment horizontal="left" vertical="center" wrapText="1"/>
    </xf>
    <xf numFmtId="0" fontId="25" fillId="0" borderId="0" xfId="0" applyFont="1" applyAlignment="1">
      <alignment horizontal="left" vertical="top"/>
    </xf>
    <xf numFmtId="0" fontId="25" fillId="0" borderId="0" xfId="569" applyFont="1" applyAlignment="1">
      <alignment horizontal="left"/>
    </xf>
    <xf numFmtId="0" fontId="36" fillId="0" borderId="0" xfId="1192" applyFont="1" applyAlignment="1">
      <alignment horizontal="left"/>
    </xf>
    <xf numFmtId="0" fontId="18" fillId="0" borderId="27" xfId="569" applyBorder="1" applyAlignment="1">
      <alignment horizontal="left"/>
    </xf>
    <xf numFmtId="0" fontId="25" fillId="0" borderId="16" xfId="569" applyFont="1" applyBorder="1" applyAlignment="1">
      <alignment horizontal="left"/>
    </xf>
    <xf numFmtId="0" fontId="19" fillId="0" borderId="0" xfId="244" applyAlignment="1" applyProtection="1">
      <alignment horizontal="left" vertical="top" wrapText="1"/>
    </xf>
    <xf numFmtId="0" fontId="36" fillId="0" borderId="0" xfId="569" applyFont="1" applyAlignment="1">
      <alignment horizontal="center"/>
    </xf>
    <xf numFmtId="0" fontId="0" fillId="5" borderId="6" xfId="0" applyFill="1" applyBorder="1" applyAlignment="1" applyProtection="1">
      <alignment horizontal="center"/>
      <protection locked="0"/>
    </xf>
    <xf numFmtId="0" fontId="27" fillId="0" borderId="0" xfId="543" applyFont="1" applyAlignment="1">
      <alignment horizontal="center"/>
    </xf>
    <xf numFmtId="0" fontId="18" fillId="0" borderId="0" xfId="0" applyFont="1" applyAlignment="1">
      <alignment vertical="center" wrapText="1"/>
    </xf>
    <xf numFmtId="0" fontId="0" fillId="0" borderId="0" xfId="0" applyAlignment="1">
      <alignment horizontal="center"/>
    </xf>
    <xf numFmtId="0" fontId="18" fillId="0" borderId="0" xfId="543" applyAlignment="1">
      <alignment wrapText="1"/>
    </xf>
    <xf numFmtId="165" fontId="27" fillId="0" borderId="1" xfId="0" applyNumberFormat="1" applyFont="1" applyBorder="1" applyAlignment="1">
      <alignment horizontal="right"/>
    </xf>
    <xf numFmtId="165" fontId="27" fillId="0" borderId="2" xfId="0" applyNumberFormat="1" applyFont="1" applyBorder="1" applyAlignment="1">
      <alignment horizontal="right"/>
    </xf>
    <xf numFmtId="165" fontId="27" fillId="0" borderId="7" xfId="0" applyNumberFormat="1" applyFont="1" applyBorder="1" applyAlignment="1">
      <alignment horizontal="right"/>
    </xf>
    <xf numFmtId="0" fontId="0" fillId="5" borderId="6" xfId="0" applyFill="1" applyBorder="1" applyAlignment="1" applyProtection="1">
      <alignment horizontal="left"/>
      <protection locked="0"/>
    </xf>
    <xf numFmtId="168" fontId="27" fillId="0" borderId="3" xfId="0" applyNumberFormat="1" applyFont="1" applyBorder="1" applyAlignment="1">
      <alignment horizontal="center"/>
    </xf>
    <xf numFmtId="168" fontId="27" fillId="0" borderId="4" xfId="0" applyNumberFormat="1" applyFont="1" applyBorder="1" applyAlignment="1">
      <alignment horizontal="center"/>
    </xf>
    <xf numFmtId="168" fontId="27" fillId="0" borderId="5" xfId="0" applyNumberFormat="1" applyFont="1" applyBorder="1" applyAlignment="1">
      <alignment horizontal="center"/>
    </xf>
    <xf numFmtId="168" fontId="27" fillId="5" borderId="3" xfId="0" applyNumberFormat="1" applyFont="1" applyFill="1" applyBorder="1" applyAlignment="1" applyProtection="1">
      <alignment horizontal="center"/>
      <protection locked="0"/>
    </xf>
    <xf numFmtId="168" fontId="27" fillId="5" borderId="4" xfId="0" applyNumberFormat="1" applyFont="1" applyFill="1" applyBorder="1" applyAlignment="1" applyProtection="1">
      <alignment horizontal="center"/>
      <protection locked="0"/>
    </xf>
    <xf numFmtId="168" fontId="27" fillId="5" borderId="5" xfId="0" applyNumberFormat="1" applyFont="1" applyFill="1" applyBorder="1" applyAlignment="1" applyProtection="1">
      <alignment horizontal="center"/>
      <protection locked="0"/>
    </xf>
    <xf numFmtId="0" fontId="25" fillId="0" borderId="0" xfId="0" applyFont="1" applyAlignment="1">
      <alignment horizontal="center"/>
    </xf>
    <xf numFmtId="1" fontId="27" fillId="5" borderId="3" xfId="0" applyNumberFormat="1" applyFont="1" applyFill="1" applyBorder="1" applyAlignment="1" applyProtection="1">
      <alignment horizontal="center"/>
      <protection locked="0"/>
    </xf>
    <xf numFmtId="1" fontId="27" fillId="5" borderId="4" xfId="0" applyNumberFormat="1" applyFont="1" applyFill="1" applyBorder="1" applyAlignment="1" applyProtection="1">
      <alignment horizontal="center"/>
      <protection locked="0"/>
    </xf>
    <xf numFmtId="1" fontId="27"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7" fillId="5" borderId="3" xfId="0" applyNumberFormat="1" applyFont="1" applyFill="1" applyBorder="1" applyAlignment="1" applyProtection="1">
      <alignment horizontal="center"/>
      <protection locked="0"/>
    </xf>
    <xf numFmtId="9" fontId="27" fillId="5" borderId="4" xfId="0" applyNumberFormat="1" applyFont="1" applyFill="1" applyBorder="1" applyAlignment="1" applyProtection="1">
      <alignment horizontal="center"/>
      <protection locked="0"/>
    </xf>
    <xf numFmtId="9" fontId="27" fillId="5" borderId="5" xfId="0" applyNumberFormat="1" applyFont="1" applyFill="1" applyBorder="1" applyAlignment="1" applyProtection="1">
      <alignment horizontal="center"/>
      <protection locked="0"/>
    </xf>
    <xf numFmtId="0" fontId="27" fillId="0" borderId="1" xfId="0" applyFont="1" applyBorder="1" applyAlignment="1">
      <alignment horizontal="center" vertical="top" wrapText="1"/>
    </xf>
    <xf numFmtId="0" fontId="27" fillId="0" borderId="2" xfId="0" applyFont="1" applyBorder="1" applyAlignment="1">
      <alignment horizontal="center" vertical="top" wrapText="1"/>
    </xf>
    <xf numFmtId="0" fontId="27" fillId="0" borderId="7" xfId="0" applyFont="1" applyBorder="1" applyAlignment="1">
      <alignment horizontal="center" vertical="top" wrapText="1"/>
    </xf>
    <xf numFmtId="0" fontId="27" fillId="0" borderId="8" xfId="0" applyFont="1" applyBorder="1" applyAlignment="1">
      <alignment horizontal="center" vertical="top" wrapText="1"/>
    </xf>
    <xf numFmtId="0" fontId="27" fillId="0" borderId="0" xfId="0" applyFont="1" applyAlignment="1">
      <alignment horizontal="center" vertical="top" wrapText="1"/>
    </xf>
    <xf numFmtId="0" fontId="27" fillId="0" borderId="12" xfId="0" applyFont="1" applyBorder="1" applyAlignment="1">
      <alignment horizontal="center" vertical="top" wrapText="1"/>
    </xf>
    <xf numFmtId="0" fontId="27" fillId="0" borderId="9" xfId="0" applyFont="1" applyBorder="1" applyAlignment="1">
      <alignment horizontal="center" vertical="top" wrapText="1"/>
    </xf>
    <xf numFmtId="0" fontId="27" fillId="0" borderId="6" xfId="0" applyFont="1" applyBorder="1" applyAlignment="1">
      <alignment horizontal="center" vertical="top" wrapText="1"/>
    </xf>
    <xf numFmtId="0" fontId="27" fillId="0" borderId="10" xfId="0" applyFont="1" applyBorder="1" applyAlignment="1">
      <alignment horizontal="center" vertical="top" wrapText="1"/>
    </xf>
    <xf numFmtId="0" fontId="27" fillId="5" borderId="3" xfId="0" applyFont="1" applyFill="1" applyBorder="1" applyAlignment="1" applyProtection="1">
      <alignment horizontal="center"/>
      <protection locked="0"/>
    </xf>
    <xf numFmtId="0" fontId="27" fillId="5" borderId="4" xfId="0" applyFont="1" applyFill="1" applyBorder="1" applyAlignment="1" applyProtection="1">
      <alignment horizontal="center"/>
      <protection locked="0"/>
    </xf>
    <xf numFmtId="0" fontId="27" fillId="5" borderId="5" xfId="0" applyFont="1" applyFill="1" applyBorder="1" applyAlignment="1" applyProtection="1">
      <alignment horizontal="center"/>
      <protection locked="0"/>
    </xf>
    <xf numFmtId="1" fontId="18" fillId="0" borderId="3" xfId="543" applyNumberFormat="1" applyBorder="1" applyAlignment="1">
      <alignment horizontal="center"/>
    </xf>
    <xf numFmtId="1" fontId="18" fillId="0" borderId="4" xfId="543" applyNumberFormat="1" applyBorder="1" applyAlignment="1">
      <alignment horizontal="center"/>
    </xf>
    <xf numFmtId="1" fontId="18" fillId="0" borderId="5" xfId="543" applyNumberFormat="1" applyBorder="1" applyAlignment="1">
      <alignment horizontal="center"/>
    </xf>
    <xf numFmtId="168" fontId="18"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8" fillId="0" borderId="3" xfId="543" applyBorder="1" applyAlignment="1">
      <alignment horizontal="center"/>
    </xf>
    <xf numFmtId="0" fontId="18" fillId="0" borderId="4" xfId="543" applyBorder="1" applyAlignment="1">
      <alignment horizontal="center"/>
    </xf>
    <xf numFmtId="0" fontId="18" fillId="0" borderId="5" xfId="543" applyBorder="1" applyAlignment="1">
      <alignment horizontal="center"/>
    </xf>
    <xf numFmtId="0" fontId="0" fillId="0" borderId="9" xfId="0" applyBorder="1" applyAlignment="1">
      <alignment horizontal="left"/>
    </xf>
    <xf numFmtId="0" fontId="0" fillId="0" borderId="6" xfId="0" applyBorder="1" applyAlignment="1">
      <alignment horizontal="left"/>
    </xf>
    <xf numFmtId="168" fontId="18" fillId="5" borderId="3" xfId="0" applyNumberFormat="1" applyFont="1" applyFill="1" applyBorder="1" applyAlignment="1" applyProtection="1">
      <alignment horizontal="right"/>
      <protection locked="0"/>
    </xf>
    <xf numFmtId="168" fontId="18" fillId="5" borderId="4" xfId="0" applyNumberFormat="1" applyFont="1" applyFill="1" applyBorder="1" applyAlignment="1" applyProtection="1">
      <alignment horizontal="right"/>
      <protection locked="0"/>
    </xf>
    <xf numFmtId="168" fontId="18" fillId="5" borderId="5" xfId="0" applyNumberFormat="1" applyFont="1" applyFill="1" applyBorder="1" applyAlignment="1" applyProtection="1">
      <alignment horizontal="right"/>
      <protection locked="0"/>
    </xf>
    <xf numFmtId="0" fontId="39" fillId="0" borderId="3" xfId="543" applyFont="1" applyBorder="1" applyAlignment="1">
      <alignment horizontal="center"/>
    </xf>
    <xf numFmtId="0" fontId="39" fillId="0" borderId="4" xfId="543" applyFont="1" applyBorder="1" applyAlignment="1">
      <alignment horizontal="center"/>
    </xf>
    <xf numFmtId="0" fontId="39" fillId="0" borderId="5" xfId="543" applyFont="1" applyBorder="1" applyAlignment="1">
      <alignment horizontal="center"/>
    </xf>
    <xf numFmtId="0" fontId="0" fillId="0" borderId="3" xfId="0" applyBorder="1"/>
    <xf numFmtId="0" fontId="0" fillId="0" borderId="4" xfId="0" applyBorder="1"/>
    <xf numFmtId="0" fontId="0" fillId="0" borderId="5" xfId="0" applyBorder="1"/>
    <xf numFmtId="168" fontId="18" fillId="0" borderId="1" xfId="543" applyNumberFormat="1" applyBorder="1" applyAlignment="1">
      <alignment horizontal="center" vertical="center"/>
    </xf>
    <xf numFmtId="168" fontId="18" fillId="0" borderId="2" xfId="543" applyNumberFormat="1" applyBorder="1" applyAlignment="1">
      <alignment horizontal="center" vertical="center"/>
    </xf>
    <xf numFmtId="168" fontId="18" fillId="0" borderId="7" xfId="543" applyNumberFormat="1" applyBorder="1" applyAlignment="1">
      <alignment horizontal="center" vertical="center"/>
    </xf>
    <xf numFmtId="168" fontId="18" fillId="0" borderId="8" xfId="543" applyNumberFormat="1" applyBorder="1" applyAlignment="1">
      <alignment horizontal="center" vertical="center"/>
    </xf>
    <xf numFmtId="168" fontId="18" fillId="0" borderId="0" xfId="543" applyNumberFormat="1" applyAlignment="1">
      <alignment horizontal="center" vertical="center"/>
    </xf>
    <xf numFmtId="168" fontId="18" fillId="0" borderId="12" xfId="543" applyNumberFormat="1" applyBorder="1" applyAlignment="1">
      <alignment horizontal="center" vertical="center"/>
    </xf>
    <xf numFmtId="168" fontId="18" fillId="0" borderId="9" xfId="543" applyNumberFormat="1" applyBorder="1" applyAlignment="1">
      <alignment horizontal="center" vertical="center"/>
    </xf>
    <xf numFmtId="168" fontId="18" fillId="0" borderId="6" xfId="543" applyNumberFormat="1" applyBorder="1" applyAlignment="1">
      <alignment horizontal="center" vertical="center"/>
    </xf>
    <xf numFmtId="168" fontId="18" fillId="0" borderId="10" xfId="543" applyNumberFormat="1" applyBorder="1" applyAlignment="1">
      <alignment horizontal="center" vertic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6" fontId="27" fillId="5" borderId="4" xfId="0" applyNumberFormat="1" applyFont="1" applyFill="1" applyBorder="1" applyAlignment="1" applyProtection="1">
      <alignment horizontal="left"/>
      <protection locked="0"/>
    </xf>
    <xf numFmtId="0" fontId="27" fillId="5" borderId="4" xfId="0" applyFont="1" applyFill="1" applyBorder="1" applyAlignment="1" applyProtection="1">
      <alignment wrapText="1"/>
      <protection locked="0"/>
    </xf>
    <xf numFmtId="0" fontId="51" fillId="0" borderId="0" xfId="0" applyFont="1" applyAlignment="1">
      <alignment horizontal="center"/>
    </xf>
    <xf numFmtId="0" fontId="18" fillId="0" borderId="0" xfId="0" applyFont="1" applyAlignment="1">
      <alignment horizontal="center"/>
    </xf>
    <xf numFmtId="0" fontId="33" fillId="0" borderId="0" xfId="0" applyFont="1" applyAlignment="1">
      <alignment horizontal="center"/>
    </xf>
    <xf numFmtId="0" fontId="18" fillId="0" borderId="0" xfId="0" applyFont="1" applyAlignment="1">
      <alignment wrapText="1"/>
    </xf>
    <xf numFmtId="0" fontId="18" fillId="0" borderId="0" xfId="0" applyFont="1" applyAlignment="1">
      <alignment horizontal="center" vertical="top"/>
    </xf>
    <xf numFmtId="0" fontId="27" fillId="0" borderId="0" xfId="0" applyFont="1" applyAlignment="1">
      <alignment horizontal="left" vertical="top" wrapText="1"/>
    </xf>
    <xf numFmtId="0" fontId="18" fillId="5" borderId="6" xfId="0" applyFont="1" applyFill="1" applyBorder="1" applyAlignment="1" applyProtection="1">
      <alignment horizontal="left"/>
      <protection locked="0"/>
    </xf>
    <xf numFmtId="0" fontId="27" fillId="5" borderId="6" xfId="0" applyFont="1" applyFill="1" applyBorder="1" applyAlignment="1" applyProtection="1">
      <alignment horizontal="left"/>
      <protection locked="0"/>
    </xf>
    <xf numFmtId="168" fontId="27" fillId="0" borderId="6" xfId="0" applyNumberFormat="1" applyFont="1" applyBorder="1" applyAlignment="1">
      <alignment horizontal="center"/>
    </xf>
    <xf numFmtId="0" fontId="18" fillId="5" borderId="6" xfId="0" applyFont="1" applyFill="1" applyBorder="1" applyAlignment="1" applyProtection="1">
      <alignment horizontal="left" wrapText="1"/>
      <protection locked="0"/>
    </xf>
    <xf numFmtId="0" fontId="27" fillId="5" borderId="6" xfId="0" applyFont="1" applyFill="1" applyBorder="1" applyAlignment="1" applyProtection="1">
      <alignment horizontal="left" wrapText="1"/>
      <protection locked="0"/>
    </xf>
    <xf numFmtId="0" fontId="26" fillId="0" borderId="0" xfId="0" applyFont="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4" fillId="3" borderId="0" xfId="0" applyFont="1" applyFill="1" applyAlignment="1">
      <alignment horizontal="center" vertical="center"/>
    </xf>
    <xf numFmtId="166" fontId="27"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5" fillId="0" borderId="2"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0" xfId="0" applyFont="1" applyAlignment="1">
      <alignment horizontal="center" vertical="center" wrapText="1"/>
    </xf>
    <xf numFmtId="0" fontId="25" fillId="0" borderId="1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0" xfId="0" applyFont="1" applyBorder="1" applyAlignment="1">
      <alignment horizontal="center" vertical="center" wrapText="1"/>
    </xf>
    <xf numFmtId="0" fontId="27" fillId="5" borderId="4" xfId="0" applyFont="1" applyFill="1" applyBorder="1" applyAlignment="1" applyProtection="1">
      <alignment horizontal="left"/>
      <protection locked="0"/>
    </xf>
    <xf numFmtId="175" fontId="18" fillId="43" borderId="3" xfId="0" applyNumberFormat="1" applyFont="1" applyFill="1" applyBorder="1" applyAlignment="1" applyProtection="1">
      <alignment horizontal="center"/>
      <protection locked="0"/>
    </xf>
    <xf numFmtId="175" fontId="18" fillId="43" borderId="4" xfId="0" applyNumberFormat="1" applyFont="1" applyFill="1" applyBorder="1" applyAlignment="1" applyProtection="1">
      <alignment horizontal="center"/>
      <protection locked="0"/>
    </xf>
    <xf numFmtId="175" fontId="18"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5"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0" fillId="0" borderId="12" xfId="0" applyBorder="1" applyAlignment="1">
      <alignment horizontal="center"/>
    </xf>
    <xf numFmtId="0" fontId="0" fillId="0" borderId="11" xfId="0" applyBorder="1" applyAlignment="1">
      <alignment horizontal="center"/>
    </xf>
    <xf numFmtId="0" fontId="27" fillId="45" borderId="11" xfId="0" applyFont="1" applyFill="1" applyBorder="1" applyAlignment="1">
      <alignment horizontal="center"/>
    </xf>
    <xf numFmtId="0" fontId="18" fillId="0" borderId="11" xfId="0" applyFont="1" applyBorder="1" applyAlignment="1">
      <alignment horizontal="center"/>
    </xf>
    <xf numFmtId="0" fontId="27" fillId="2" borderId="11" xfId="0" applyFont="1" applyFill="1" applyBorder="1" applyAlignment="1">
      <alignment horizontal="center"/>
    </xf>
    <xf numFmtId="0" fontId="18" fillId="0" borderId="11" xfId="543" applyBorder="1" applyAlignment="1">
      <alignment horizontal="center"/>
    </xf>
    <xf numFmtId="0" fontId="18" fillId="0" borderId="3" xfId="0" applyFont="1" applyBorder="1" applyAlignment="1">
      <alignment horizontal="center"/>
    </xf>
    <xf numFmtId="0" fontId="18" fillId="0" borderId="5" xfId="0" applyFont="1" applyBorder="1" applyAlignment="1">
      <alignment horizontal="center"/>
    </xf>
    <xf numFmtId="0" fontId="27" fillId="45" borderId="3" xfId="0" applyFont="1" applyFill="1" applyBorder="1" applyAlignment="1">
      <alignment horizontal="center"/>
    </xf>
    <xf numFmtId="0" fontId="27" fillId="45" borderId="4" xfId="0" applyFont="1" applyFill="1" applyBorder="1" applyAlignment="1">
      <alignment horizontal="center"/>
    </xf>
    <xf numFmtId="0" fontId="27" fillId="45" borderId="5" xfId="0" applyFont="1" applyFill="1" applyBorder="1" applyAlignment="1">
      <alignment horizontal="center"/>
    </xf>
    <xf numFmtId="0" fontId="27" fillId="0" borderId="3" xfId="0" applyFont="1" applyBorder="1" applyAlignment="1">
      <alignment horizontal="center"/>
    </xf>
    <xf numFmtId="0" fontId="27" fillId="0" borderId="5" xfId="0" applyFont="1" applyBorder="1" applyAlignment="1">
      <alignment horizontal="center"/>
    </xf>
    <xf numFmtId="0" fontId="18" fillId="0" borderId="4" xfId="0" applyFont="1" applyBorder="1" applyAlignment="1">
      <alignment horizontal="center"/>
    </xf>
    <xf numFmtId="0" fontId="41" fillId="0" borderId="3" xfId="0" applyFont="1" applyBorder="1" applyAlignment="1">
      <alignment horizontal="center"/>
    </xf>
    <xf numFmtId="0" fontId="41" fillId="0" borderId="4" xfId="0" applyFont="1" applyBorder="1" applyAlignment="1">
      <alignment horizontal="center"/>
    </xf>
    <xf numFmtId="0" fontId="41"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6" fillId="5" borderId="3" xfId="543" applyFont="1"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168" fontId="18" fillId="10" borderId="3" xfId="543" applyNumberFormat="1" applyFill="1" applyBorder="1" applyAlignment="1">
      <alignment horizontal="center"/>
    </xf>
    <xf numFmtId="168" fontId="18" fillId="10" borderId="4" xfId="543" applyNumberFormat="1" applyFill="1" applyBorder="1" applyAlignment="1">
      <alignment horizontal="center"/>
    </xf>
    <xf numFmtId="168" fontId="18" fillId="10" borderId="5" xfId="543" applyNumberFormat="1" applyFill="1" applyBorder="1" applyAlignment="1">
      <alignment horizontal="center"/>
    </xf>
    <xf numFmtId="0" fontId="18" fillId="2" borderId="3" xfId="543" applyFill="1" applyBorder="1" applyAlignment="1">
      <alignment horizontal="center"/>
    </xf>
    <xf numFmtId="0" fontId="18" fillId="2" borderId="4" xfId="543" applyFill="1" applyBorder="1" applyAlignment="1">
      <alignment horizontal="center"/>
    </xf>
    <xf numFmtId="0" fontId="18" fillId="2" borderId="5" xfId="543" applyFill="1" applyBorder="1" applyAlignment="1">
      <alignment horizontal="center"/>
    </xf>
    <xf numFmtId="0" fontId="25" fillId="0" borderId="8" xfId="543" applyFont="1" applyBorder="1" applyAlignment="1">
      <alignment horizontal="left" vertical="center" wrapText="1"/>
    </xf>
    <xf numFmtId="0" fontId="25" fillId="0" borderId="0" xfId="543" applyFont="1" applyAlignment="1">
      <alignment horizontal="left" vertical="center" wrapText="1"/>
    </xf>
    <xf numFmtId="0" fontId="25" fillId="0" borderId="12" xfId="543" applyFont="1" applyBorder="1" applyAlignment="1">
      <alignment horizontal="left" vertical="center" wrapText="1"/>
    </xf>
    <xf numFmtId="0" fontId="25" fillId="10" borderId="3" xfId="543" applyFont="1" applyFill="1" applyBorder="1" applyAlignment="1">
      <alignment horizontal="center"/>
    </xf>
    <xf numFmtId="0" fontId="25" fillId="10" borderId="4" xfId="543" applyFont="1" applyFill="1" applyBorder="1" applyAlignment="1">
      <alignment horizontal="center"/>
    </xf>
    <xf numFmtId="0" fontId="25" fillId="10" borderId="5" xfId="543" applyFont="1" applyFill="1" applyBorder="1" applyAlignment="1">
      <alignment horizontal="center"/>
    </xf>
    <xf numFmtId="0" fontId="37" fillId="5" borderId="3" xfId="543" applyFont="1" applyFill="1" applyBorder="1" applyAlignment="1" applyProtection="1">
      <alignment horizontal="center" vertical="top"/>
      <protection locked="0"/>
    </xf>
    <xf numFmtId="0" fontId="37" fillId="5" borderId="5" xfId="543" applyFont="1" applyFill="1" applyBorder="1" applyAlignment="1" applyProtection="1">
      <alignment horizontal="center" vertical="top"/>
      <protection locked="0"/>
    </xf>
    <xf numFmtId="0" fontId="37" fillId="5" borderId="3" xfId="543" applyFont="1" applyFill="1" applyBorder="1" applyAlignment="1" applyProtection="1">
      <alignment horizontal="center"/>
      <protection locked="0"/>
    </xf>
    <xf numFmtId="0" fontId="37" fillId="5" borderId="5" xfId="543" applyFont="1" applyFill="1" applyBorder="1" applyAlignment="1" applyProtection="1">
      <alignment horizontal="center"/>
      <protection locked="0"/>
    </xf>
    <xf numFmtId="0" fontId="25" fillId="0" borderId="1" xfId="543" applyFont="1" applyBorder="1" applyAlignment="1">
      <alignment horizontal="left" vertical="center" wrapText="1"/>
    </xf>
    <xf numFmtId="0" fontId="25" fillId="0" borderId="2" xfId="543" applyFont="1" applyBorder="1" applyAlignment="1">
      <alignment horizontal="left" vertical="center" wrapText="1"/>
    </xf>
    <xf numFmtId="0" fontId="25" fillId="0" borderId="7" xfId="543" applyFont="1" applyBorder="1" applyAlignment="1">
      <alignment horizontal="left" vertical="center" wrapText="1"/>
    </xf>
    <xf numFmtId="0" fontId="18" fillId="0" borderId="8" xfId="543" applyBorder="1" applyAlignment="1">
      <alignment horizontal="left" vertical="top" wrapText="1"/>
    </xf>
    <xf numFmtId="0" fontId="18" fillId="0" borderId="0" xfId="543" applyAlignment="1">
      <alignment horizontal="left" vertical="top" wrapText="1"/>
    </xf>
    <xf numFmtId="0" fontId="18" fillId="0" borderId="12" xfId="543" applyBorder="1" applyAlignment="1">
      <alignment horizontal="left" vertical="top" wrapText="1"/>
    </xf>
    <xf numFmtId="0" fontId="18" fillId="0" borderId="9" xfId="543" applyBorder="1" applyAlignment="1">
      <alignment horizontal="left" vertical="top" wrapText="1"/>
    </xf>
    <xf numFmtId="0" fontId="18" fillId="0" borderId="6" xfId="543" applyBorder="1" applyAlignment="1">
      <alignment horizontal="left" vertical="top" wrapText="1"/>
    </xf>
    <xf numFmtId="0" fontId="18" fillId="0" borderId="10" xfId="543" applyBorder="1" applyAlignment="1">
      <alignment horizontal="left" vertical="top" wrapText="1"/>
    </xf>
    <xf numFmtId="0" fontId="45" fillId="0" borderId="8" xfId="543" applyFont="1" applyBorder="1" applyAlignment="1">
      <alignment horizontal="center" vertical="center" wrapText="1"/>
    </xf>
    <xf numFmtId="0" fontId="45" fillId="0" borderId="0" xfId="543" applyFont="1" applyAlignment="1">
      <alignment horizontal="center" vertical="center" wrapText="1"/>
    </xf>
    <xf numFmtId="0" fontId="45" fillId="0" borderId="12" xfId="543" applyFont="1" applyBorder="1" applyAlignment="1">
      <alignment horizontal="center" vertical="center" wrapText="1"/>
    </xf>
    <xf numFmtId="0" fontId="18" fillId="0" borderId="8" xfId="0" applyFont="1" applyBorder="1" applyAlignment="1">
      <alignment horizontal="left" wrapText="1"/>
    </xf>
    <xf numFmtId="0" fontId="18" fillId="0" borderId="12" xfId="0" applyFont="1" applyBorder="1" applyAlignment="1">
      <alignment horizontal="left" wrapText="1"/>
    </xf>
    <xf numFmtId="0" fontId="18" fillId="0" borderId="9" xfId="0" applyFont="1" applyBorder="1" applyAlignment="1">
      <alignment horizontal="left" wrapText="1"/>
    </xf>
    <xf numFmtId="0" fontId="18" fillId="0" borderId="6" xfId="0" applyFont="1" applyBorder="1" applyAlignment="1">
      <alignment horizontal="left" wrapText="1"/>
    </xf>
    <xf numFmtId="0" fontId="18" fillId="0" borderId="10" xfId="0" applyFont="1" applyBorder="1" applyAlignment="1">
      <alignment horizontal="left" wrapText="1"/>
    </xf>
    <xf numFmtId="0" fontId="25" fillId="0" borderId="1" xfId="543" applyFont="1" applyBorder="1" applyAlignment="1">
      <alignment horizontal="left" vertical="top" wrapText="1"/>
    </xf>
    <xf numFmtId="0" fontId="25" fillId="0" borderId="2" xfId="543" applyFont="1" applyBorder="1" applyAlignment="1">
      <alignment horizontal="left" vertical="top" wrapText="1"/>
    </xf>
    <xf numFmtId="0" fontId="25" fillId="0" borderId="7" xfId="543" applyFont="1" applyBorder="1" applyAlignment="1">
      <alignment horizontal="left" vertical="top" wrapText="1"/>
    </xf>
    <xf numFmtId="0" fontId="25" fillId="0" borderId="8" xfId="543" applyFont="1" applyBorder="1" applyAlignment="1">
      <alignment horizontal="left" vertical="top" wrapText="1"/>
    </xf>
    <xf numFmtId="0" fontId="25" fillId="0" borderId="0" xfId="543" applyFont="1" applyAlignment="1">
      <alignment horizontal="left" vertical="top" wrapText="1"/>
    </xf>
    <xf numFmtId="0" fontId="25" fillId="0" borderId="12" xfId="543" applyFont="1" applyBorder="1" applyAlignment="1">
      <alignment horizontal="left" vertical="top" wrapText="1"/>
    </xf>
    <xf numFmtId="0" fontId="153" fillId="0" borderId="8" xfId="543" applyFont="1" applyBorder="1" applyAlignment="1">
      <alignment horizontal="center" vertical="center" wrapText="1"/>
    </xf>
    <xf numFmtId="0" fontId="153" fillId="0" borderId="0" xfId="543" applyFont="1" applyAlignment="1">
      <alignment horizontal="center" vertical="center" wrapText="1"/>
    </xf>
    <xf numFmtId="0" fontId="153"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7" fillId="5" borderId="3" xfId="0" applyNumberFormat="1" applyFont="1" applyFill="1" applyBorder="1" applyAlignment="1" applyProtection="1">
      <alignment horizontal="left"/>
      <protection locked="0"/>
    </xf>
    <xf numFmtId="164" fontId="37" fillId="5" borderId="4" xfId="0" applyNumberFormat="1" applyFont="1" applyFill="1" applyBorder="1" applyAlignment="1" applyProtection="1">
      <alignment horizontal="left"/>
      <protection locked="0"/>
    </xf>
    <xf numFmtId="164" fontId="37" fillId="5" borderId="5" xfId="0" applyNumberFormat="1" applyFont="1" applyFill="1" applyBorder="1" applyAlignment="1" applyProtection="1">
      <alignment horizontal="left"/>
      <protection locked="0"/>
    </xf>
    <xf numFmtId="0" fontId="18" fillId="0" borderId="8" xfId="543" applyBorder="1" applyAlignment="1">
      <alignment horizontal="left" vertical="center" wrapText="1"/>
    </xf>
    <xf numFmtId="0" fontId="18" fillId="0" borderId="0" xfId="543" applyAlignment="1">
      <alignment horizontal="left" vertical="center" wrapText="1"/>
    </xf>
    <xf numFmtId="0" fontId="18" fillId="0" borderId="12" xfId="543" applyBorder="1" applyAlignment="1">
      <alignment horizontal="left" vertical="center" wrapText="1"/>
    </xf>
    <xf numFmtId="0" fontId="18" fillId="0" borderId="9" xfId="543" applyBorder="1" applyAlignment="1">
      <alignment horizontal="left" vertical="center" wrapText="1"/>
    </xf>
    <xf numFmtId="0" fontId="18" fillId="0" borderId="6" xfId="543" applyBorder="1" applyAlignment="1">
      <alignment horizontal="left" vertical="center" wrapText="1"/>
    </xf>
    <xf numFmtId="0" fontId="18" fillId="0" borderId="10" xfId="543" applyBorder="1" applyAlignment="1">
      <alignment horizontal="left" vertical="center" wrapText="1"/>
    </xf>
    <xf numFmtId="0" fontId="18" fillId="5" borderId="3" xfId="0" applyFont="1" applyFill="1" applyBorder="1" applyAlignment="1" applyProtection="1">
      <alignment horizontal="left"/>
      <protection locked="0"/>
    </xf>
    <xf numFmtId="0" fontId="18" fillId="5" borderId="4" xfId="0" applyFont="1" applyFill="1" applyBorder="1" applyAlignment="1" applyProtection="1">
      <alignment horizontal="left"/>
      <protection locked="0"/>
    </xf>
    <xf numFmtId="0" fontId="18" fillId="5" borderId="5" xfId="0" applyFont="1" applyFill="1" applyBorder="1" applyAlignment="1" applyProtection="1">
      <alignment horizontal="left"/>
      <protection locked="0"/>
    </xf>
    <xf numFmtId="0" fontId="38" fillId="0" borderId="4" xfId="543" applyFont="1" applyBorder="1" applyAlignment="1">
      <alignment horizontal="right" vertical="top" wrapText="1"/>
    </xf>
    <xf numFmtId="0" fontId="38" fillId="0" borderId="5" xfId="543" applyFont="1" applyBorder="1" applyAlignment="1">
      <alignment horizontal="right" vertical="top" wrapText="1"/>
    </xf>
    <xf numFmtId="0" fontId="26" fillId="0" borderId="3" xfId="543" applyFont="1" applyBorder="1" applyAlignment="1">
      <alignment horizontal="center"/>
    </xf>
    <xf numFmtId="0" fontId="26" fillId="0" borderId="5" xfId="543" applyFont="1" applyBorder="1" applyAlignment="1">
      <alignment horizontal="center"/>
    </xf>
    <xf numFmtId="1" fontId="26" fillId="0" borderId="3" xfId="543" applyNumberFormat="1" applyFont="1" applyBorder="1" applyAlignment="1">
      <alignment horizontal="center"/>
    </xf>
    <xf numFmtId="1" fontId="26" fillId="0" borderId="5" xfId="543" applyNumberFormat="1" applyFont="1" applyBorder="1" applyAlignment="1">
      <alignment horizontal="center"/>
    </xf>
    <xf numFmtId="0" fontId="37" fillId="0" borderId="3" xfId="543" applyFont="1" applyBorder="1" applyAlignment="1">
      <alignment horizontal="center"/>
    </xf>
    <xf numFmtId="0" fontId="37" fillId="0" borderId="5" xfId="543" applyFont="1" applyBorder="1" applyAlignment="1">
      <alignment horizontal="center"/>
    </xf>
    <xf numFmtId="0" fontId="38" fillId="0" borderId="1" xfId="543" applyFont="1" applyBorder="1" applyAlignment="1">
      <alignment horizontal="right"/>
    </xf>
    <xf numFmtId="0" fontId="38" fillId="0" borderId="2" xfId="543" applyFont="1" applyBorder="1" applyAlignment="1">
      <alignment horizontal="right"/>
    </xf>
    <xf numFmtId="0" fontId="38" fillId="0" borderId="7" xfId="543" applyFont="1" applyBorder="1" applyAlignment="1">
      <alignment horizontal="right"/>
    </xf>
    <xf numFmtId="168" fontId="25" fillId="0" borderId="3" xfId="543" applyNumberFormat="1" applyFont="1" applyBorder="1" applyAlignment="1">
      <alignment horizontal="center" vertical="center"/>
    </xf>
    <xf numFmtId="168" fontId="25" fillId="0" borderId="4" xfId="543" applyNumberFormat="1" applyFont="1" applyBorder="1" applyAlignment="1">
      <alignment horizontal="center" vertical="center"/>
    </xf>
    <xf numFmtId="168" fontId="25" fillId="0" borderId="5" xfId="543" applyNumberFormat="1" applyFont="1" applyBorder="1" applyAlignment="1">
      <alignment horizontal="center" vertical="center"/>
    </xf>
    <xf numFmtId="1" fontId="27" fillId="5" borderId="11" xfId="0" applyNumberFormat="1" applyFont="1" applyFill="1" applyBorder="1" applyAlignment="1" applyProtection="1">
      <alignment horizontal="center"/>
      <protection locked="0"/>
    </xf>
    <xf numFmtId="0" fontId="37" fillId="5" borderId="9" xfId="543" applyFont="1" applyFill="1" applyBorder="1" applyAlignment="1" applyProtection="1">
      <alignment horizontal="center"/>
      <protection locked="0"/>
    </xf>
    <xf numFmtId="0" fontId="37" fillId="5" borderId="10" xfId="543" applyFont="1" applyFill="1" applyBorder="1" applyAlignment="1" applyProtection="1">
      <alignment horizontal="center"/>
      <protection locked="0"/>
    </xf>
    <xf numFmtId="182" fontId="26" fillId="43" borderId="11" xfId="8721" applyNumberFormat="1" applyFont="1" applyFill="1" applyBorder="1" applyAlignment="1" applyProtection="1">
      <alignment horizontal="center" vertical="center" wrapText="1"/>
      <protection locked="0"/>
    </xf>
    <xf numFmtId="0" fontId="160" fillId="0" borderId="8" xfId="543" applyFont="1" applyBorder="1" applyAlignment="1">
      <alignment horizontal="center" wrapText="1"/>
    </xf>
    <xf numFmtId="0" fontId="160" fillId="0" borderId="0" xfId="543" applyFont="1" applyAlignment="1">
      <alignment horizontal="center" wrapText="1"/>
    </xf>
    <xf numFmtId="0" fontId="160" fillId="0" borderId="12" xfId="543" applyFont="1" applyBorder="1" applyAlignment="1">
      <alignment horizontal="center" wrapText="1"/>
    </xf>
    <xf numFmtId="0" fontId="160" fillId="0" borderId="9" xfId="543" applyFont="1" applyBorder="1" applyAlignment="1">
      <alignment horizontal="center" wrapText="1"/>
    </xf>
    <xf numFmtId="0" fontId="160" fillId="0" borderId="6" xfId="543" applyFont="1" applyBorder="1" applyAlignment="1">
      <alignment horizontal="center" wrapText="1"/>
    </xf>
    <xf numFmtId="0" fontId="160" fillId="0" borderId="10" xfId="543" applyFont="1" applyBorder="1" applyAlignment="1">
      <alignment horizontal="center" wrapText="1"/>
    </xf>
    <xf numFmtId="0" fontId="160" fillId="0" borderId="8" xfId="543" applyFont="1" applyBorder="1" applyAlignment="1">
      <alignment horizontal="center" vertical="top" wrapText="1"/>
    </xf>
    <xf numFmtId="0" fontId="160" fillId="0" borderId="0" xfId="543" applyFont="1" applyAlignment="1">
      <alignment horizontal="center" vertical="top" wrapText="1"/>
    </xf>
    <xf numFmtId="0" fontId="160" fillId="0" borderId="12" xfId="543" applyFont="1" applyBorder="1" applyAlignment="1">
      <alignment horizontal="center" vertical="top" wrapText="1"/>
    </xf>
    <xf numFmtId="0" fontId="160" fillId="0" borderId="9" xfId="543" applyFont="1" applyBorder="1" applyAlignment="1">
      <alignment horizontal="center" vertical="top" wrapText="1"/>
    </xf>
    <xf numFmtId="0" fontId="160" fillId="0" borderId="6" xfId="543" applyFont="1" applyBorder="1" applyAlignment="1">
      <alignment horizontal="center" vertical="top" wrapText="1"/>
    </xf>
    <xf numFmtId="0" fontId="160" fillId="0" borderId="10" xfId="543" applyFont="1" applyBorder="1" applyAlignment="1">
      <alignment horizontal="center" vertical="top" wrapText="1"/>
    </xf>
    <xf numFmtId="0" fontId="54" fillId="5" borderId="3" xfId="0" applyFont="1" applyFill="1" applyBorder="1" applyAlignment="1" applyProtection="1">
      <alignment horizontal="right"/>
      <protection locked="0"/>
    </xf>
    <xf numFmtId="0" fontId="54" fillId="5" borderId="4" xfId="0" applyFont="1" applyFill="1" applyBorder="1" applyAlignment="1" applyProtection="1">
      <alignment horizontal="right"/>
      <protection locked="0"/>
    </xf>
    <xf numFmtId="0" fontId="54" fillId="5" borderId="5" xfId="0" applyFont="1" applyFill="1" applyBorder="1" applyAlignment="1" applyProtection="1">
      <alignment horizontal="right"/>
      <protection locked="0"/>
    </xf>
    <xf numFmtId="0" fontId="25" fillId="0" borderId="1" xfId="0" applyFont="1" applyBorder="1" applyAlignment="1">
      <alignment horizontal="center" wrapText="1"/>
    </xf>
    <xf numFmtId="0" fontId="25" fillId="0" borderId="2" xfId="0" applyFont="1" applyBorder="1" applyAlignment="1">
      <alignment horizontal="center" wrapText="1"/>
    </xf>
    <xf numFmtId="0" fontId="25" fillId="0" borderId="8" xfId="0" applyFont="1" applyBorder="1" applyAlignment="1">
      <alignment horizontal="center" wrapText="1"/>
    </xf>
    <xf numFmtId="0" fontId="25" fillId="0" borderId="0" xfId="0" applyFont="1" applyAlignment="1">
      <alignment horizontal="center" wrapText="1"/>
    </xf>
    <xf numFmtId="0" fontId="25" fillId="0" borderId="9" xfId="0" applyFont="1" applyBorder="1" applyAlignment="1">
      <alignment horizontal="center" wrapText="1"/>
    </xf>
    <xf numFmtId="0" fontId="25" fillId="0" borderId="6" xfId="0" applyFont="1" applyBorder="1" applyAlignment="1">
      <alignment horizontal="center" wrapText="1"/>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5" fillId="0" borderId="3" xfId="543" applyFont="1" applyBorder="1" applyAlignment="1">
      <alignment horizontal="right"/>
    </xf>
    <xf numFmtId="0" fontId="25" fillId="0" borderId="4" xfId="543" applyFont="1" applyBorder="1" applyAlignment="1">
      <alignment horizontal="right"/>
    </xf>
    <xf numFmtId="0" fontId="25" fillId="0" borderId="5" xfId="543" applyFont="1" applyBorder="1" applyAlignment="1">
      <alignment horizontal="right"/>
    </xf>
    <xf numFmtId="0" fontId="18" fillId="5" borderId="3" xfId="543" applyFill="1" applyBorder="1" applyAlignment="1" applyProtection="1">
      <alignment horizontal="left" vertical="top" wrapText="1"/>
      <protection locked="0"/>
    </xf>
    <xf numFmtId="0" fontId="27" fillId="5" borderId="4" xfId="543" applyFont="1" applyFill="1" applyBorder="1" applyAlignment="1" applyProtection="1">
      <alignment horizontal="left" vertical="top" wrapText="1"/>
      <protection locked="0"/>
    </xf>
    <xf numFmtId="0" fontId="27" fillId="5" borderId="5" xfId="543" applyFont="1" applyFill="1" applyBorder="1" applyAlignment="1" applyProtection="1">
      <alignment horizontal="left" vertical="top" wrapText="1"/>
      <protection locked="0"/>
    </xf>
    <xf numFmtId="0" fontId="25" fillId="0" borderId="6" xfId="0" applyFont="1" applyBorder="1" applyAlignment="1">
      <alignment horizontal="center"/>
    </xf>
    <xf numFmtId="9" fontId="18" fillId="5" borderId="3" xfId="0" applyNumberFormat="1" applyFont="1" applyFill="1" applyBorder="1" applyAlignment="1" applyProtection="1">
      <alignment horizontal="right"/>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8" fillId="5" borderId="3" xfId="0" applyNumberFormat="1" applyFont="1" applyFill="1" applyBorder="1" applyAlignment="1" applyProtection="1">
      <alignment horizontal="left"/>
      <protection locked="0"/>
    </xf>
    <xf numFmtId="168" fontId="18" fillId="5" borderId="4" xfId="0" applyNumberFormat="1" applyFont="1" applyFill="1" applyBorder="1" applyAlignment="1" applyProtection="1">
      <alignment horizontal="left"/>
      <protection locked="0"/>
    </xf>
    <xf numFmtId="168" fontId="18" fillId="5" borderId="5" xfId="0" applyNumberFormat="1" applyFont="1" applyFill="1" applyBorder="1" applyAlignment="1" applyProtection="1">
      <alignment horizontal="left"/>
      <protection locked="0"/>
    </xf>
    <xf numFmtId="168" fontId="18"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6" fillId="5" borderId="3" xfId="0" applyNumberFormat="1" applyFont="1" applyFill="1" applyBorder="1" applyAlignment="1" applyProtection="1">
      <alignment horizontal="left"/>
      <protection locked="0"/>
    </xf>
    <xf numFmtId="164" fontId="26" fillId="5" borderId="4" xfId="0" applyNumberFormat="1" applyFont="1" applyFill="1" applyBorder="1" applyAlignment="1" applyProtection="1">
      <alignment horizontal="left"/>
      <protection locked="0"/>
    </xf>
    <xf numFmtId="164" fontId="26" fillId="5" borderId="5" xfId="0" applyNumberFormat="1" applyFont="1" applyFill="1" applyBorder="1" applyAlignment="1" applyProtection="1">
      <alignment horizontal="left"/>
      <protection locked="0"/>
    </xf>
    <xf numFmtId="0" fontId="27" fillId="0" borderId="11" xfId="0" applyFont="1" applyBorder="1" applyAlignment="1">
      <alignment horizontal="center" vertical="top" wrapText="1"/>
    </xf>
    <xf numFmtId="0" fontId="25" fillId="0" borderId="0" xfId="0" applyFont="1" applyAlignment="1">
      <alignment horizontal="center" vertical="center"/>
    </xf>
    <xf numFmtId="0" fontId="18" fillId="5" borderId="11" xfId="0" applyFont="1" applyFill="1" applyBorder="1" applyAlignment="1" applyProtection="1">
      <alignment horizontal="left" wrapText="1"/>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8" fillId="43" borderId="11" xfId="0" applyFont="1" applyFill="1" applyBorder="1" applyAlignment="1" applyProtection="1">
      <alignment horizontal="center"/>
      <protection locked="0"/>
    </xf>
    <xf numFmtId="1" fontId="18" fillId="0" borderId="3" xfId="0" applyNumberFormat="1" applyFont="1" applyBorder="1" applyAlignment="1">
      <alignment horizontal="center"/>
    </xf>
    <xf numFmtId="1" fontId="27" fillId="0" borderId="4" xfId="0" applyNumberFormat="1" applyFont="1" applyBorder="1" applyAlignment="1">
      <alignment horizontal="center"/>
    </xf>
    <xf numFmtId="1" fontId="27" fillId="0" borderId="5" xfId="0" applyNumberFormat="1" applyFont="1" applyBorder="1" applyAlignment="1">
      <alignment horizontal="center"/>
    </xf>
    <xf numFmtId="0" fontId="27" fillId="5" borderId="6" xfId="271" applyFill="1" applyBorder="1" applyProtection="1">
      <protection locked="0"/>
    </xf>
    <xf numFmtId="0" fontId="25" fillId="0" borderId="3" xfId="0" applyFont="1" applyBorder="1" applyAlignment="1">
      <alignment horizontal="right"/>
    </xf>
    <xf numFmtId="0" fontId="25" fillId="0" borderId="4" xfId="0" applyFont="1" applyBorder="1" applyAlignment="1">
      <alignment horizontal="right"/>
    </xf>
    <xf numFmtId="0" fontId="25" fillId="0" borderId="5" xfId="0" applyFont="1" applyBorder="1" applyAlignment="1">
      <alignment horizontal="right"/>
    </xf>
    <xf numFmtId="0" fontId="157" fillId="0" borderId="0" xfId="0" applyFont="1" applyAlignment="1">
      <alignment horizontal="center" vertical="center" wrapText="1"/>
    </xf>
    <xf numFmtId="165" fontId="25" fillId="0" borderId="3" xfId="271" applyNumberFormat="1" applyFont="1" applyBorder="1" applyAlignment="1">
      <alignment horizontal="center"/>
    </xf>
    <xf numFmtId="165" fontId="25" fillId="0" borderId="4" xfId="271" applyNumberFormat="1" applyFont="1" applyBorder="1" applyAlignment="1">
      <alignment horizontal="center"/>
    </xf>
    <xf numFmtId="165" fontId="25" fillId="0" borderId="5" xfId="271" applyNumberFormat="1" applyFont="1" applyBorder="1" applyAlignment="1">
      <alignment horizontal="center"/>
    </xf>
    <xf numFmtId="0" fontId="25" fillId="0" borderId="11" xfId="0" applyFont="1" applyBorder="1" applyAlignment="1">
      <alignment horizontal="center"/>
    </xf>
    <xf numFmtId="0" fontId="18" fillId="0" borderId="0" xfId="543" applyAlignment="1">
      <alignment horizontal="center"/>
    </xf>
    <xf numFmtId="2" fontId="18"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5" fillId="5" borderId="3" xfId="0" applyFont="1" applyFill="1" applyBorder="1" applyAlignment="1" applyProtection="1">
      <alignment horizontal="right"/>
      <protection locked="0"/>
    </xf>
    <xf numFmtId="0" fontId="25" fillId="5" borderId="4" xfId="0" applyFont="1" applyFill="1" applyBorder="1" applyAlignment="1" applyProtection="1">
      <alignment horizontal="right"/>
      <protection locked="0"/>
    </xf>
    <xf numFmtId="0" fontId="25"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18" fillId="0" borderId="3" xfId="0" applyFont="1" applyBorder="1"/>
    <xf numFmtId="0" fontId="18" fillId="0" borderId="4" xfId="0" applyFont="1" applyBorder="1"/>
    <xf numFmtId="0" fontId="18" fillId="0" borderId="5" xfId="0" applyFont="1" applyBorder="1"/>
    <xf numFmtId="0" fontId="26" fillId="5" borderId="3" xfId="0" applyFont="1" applyFill="1" applyBorder="1" applyAlignment="1" applyProtection="1">
      <alignment horizontal="left"/>
      <protection locked="0"/>
    </xf>
    <xf numFmtId="0" fontId="26" fillId="5" borderId="4" xfId="0" applyFont="1" applyFill="1" applyBorder="1" applyAlignment="1" applyProtection="1">
      <alignment horizontal="left"/>
      <protection locked="0"/>
    </xf>
    <xf numFmtId="0" fontId="26" fillId="5" borderId="5" xfId="0" applyFont="1" applyFill="1" applyBorder="1" applyAlignment="1" applyProtection="1">
      <alignment horizontal="left"/>
      <protection locked="0"/>
    </xf>
    <xf numFmtId="168" fontId="0" fillId="5" borderId="11" xfId="0" applyNumberFormat="1" applyFill="1" applyBorder="1" applyAlignment="1" applyProtection="1">
      <alignment horizontal="center"/>
      <protection locked="0"/>
    </xf>
    <xf numFmtId="168" fontId="0" fillId="5" borderId="11" xfId="0" applyNumberFormat="1" applyFill="1" applyBorder="1" applyProtection="1">
      <protection locked="0"/>
    </xf>
    <xf numFmtId="168" fontId="0" fillId="0" borderId="11" xfId="0" applyNumberFormat="1" applyBorder="1" applyAlignment="1">
      <alignment horizontal="right"/>
    </xf>
    <xf numFmtId="0" fontId="18" fillId="5" borderId="3" xfId="0" applyFont="1" applyFill="1" applyBorder="1" applyProtection="1">
      <protection locked="0"/>
    </xf>
    <xf numFmtId="0" fontId="27" fillId="0" borderId="4" xfId="0" applyFont="1" applyBorder="1" applyProtection="1">
      <protection locked="0"/>
    </xf>
    <xf numFmtId="0" fontId="27" fillId="0" borderId="5" xfId="0" applyFont="1" applyBorder="1" applyProtection="1">
      <protection locked="0"/>
    </xf>
    <xf numFmtId="0" fontId="25" fillId="0" borderId="12" xfId="0" applyFont="1" applyBorder="1" applyAlignment="1">
      <alignment horizontal="center" wrapText="1"/>
    </xf>
    <xf numFmtId="0" fontId="25" fillId="0" borderId="10" xfId="0" applyFont="1" applyBorder="1" applyAlignment="1">
      <alignment horizontal="center" wrapText="1"/>
    </xf>
    <xf numFmtId="0" fontId="27"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25" fillId="0" borderId="1" xfId="0" applyFont="1" applyBorder="1" applyAlignment="1">
      <alignment horizontal="center"/>
    </xf>
    <xf numFmtId="0" fontId="25" fillId="0" borderId="2" xfId="0" applyFont="1" applyBorder="1" applyAlignment="1">
      <alignment horizontal="center"/>
    </xf>
    <xf numFmtId="0" fontId="25" fillId="0" borderId="7" xfId="0" applyFont="1" applyBorder="1" applyAlignment="1">
      <alignment horizontal="center"/>
    </xf>
    <xf numFmtId="0" fontId="37" fillId="5" borderId="3" xfId="543" applyFont="1" applyFill="1" applyBorder="1" applyAlignment="1">
      <alignment horizontal="center"/>
    </xf>
    <xf numFmtId="0" fontId="37" fillId="5" borderId="4" xfId="543" applyFont="1" applyFill="1" applyBorder="1" applyAlignment="1">
      <alignment horizontal="center"/>
    </xf>
    <xf numFmtId="0" fontId="37" fillId="5" borderId="5" xfId="543" applyFont="1" applyFill="1" applyBorder="1" applyAlignment="1">
      <alignment horizontal="center"/>
    </xf>
    <xf numFmtId="49" fontId="18" fillId="5" borderId="3" xfId="543" applyNumberFormat="1" applyFill="1" applyBorder="1" applyAlignment="1">
      <alignment horizontal="center"/>
    </xf>
    <xf numFmtId="49" fontId="18" fillId="5" borderId="5" xfId="543" applyNumberFormat="1" applyFill="1" applyBorder="1" applyAlignment="1">
      <alignment horizontal="center"/>
    </xf>
    <xf numFmtId="0" fontId="18" fillId="0" borderId="1" xfId="0" applyFont="1" applyBorder="1" applyAlignment="1">
      <alignment horizontal="center" vertical="top" wrapText="1"/>
    </xf>
    <xf numFmtId="171" fontId="18" fillId="0" borderId="0" xfId="543" applyNumberFormat="1" applyAlignment="1">
      <alignment horizontal="center"/>
    </xf>
    <xf numFmtId="180" fontId="26" fillId="43" borderId="3" xfId="0" applyNumberFormat="1" applyFont="1" applyFill="1" applyBorder="1" applyAlignment="1" applyProtection="1">
      <alignment horizontal="center" vertical="center"/>
      <protection locked="0"/>
    </xf>
    <xf numFmtId="180" fontId="26" fillId="43" borderId="4" xfId="0" applyNumberFormat="1" applyFont="1" applyFill="1" applyBorder="1" applyAlignment="1" applyProtection="1">
      <alignment horizontal="center" vertical="center"/>
      <protection locked="0"/>
    </xf>
    <xf numFmtId="180" fontId="26"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left"/>
      <protection locked="0"/>
    </xf>
    <xf numFmtId="0" fontId="18" fillId="5" borderId="11" xfId="0" applyFont="1" applyFill="1" applyBorder="1" applyAlignment="1" applyProtection="1">
      <alignment horizontal="left" vertical="center" wrapText="1"/>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8" fillId="43" borderId="3" xfId="0" applyNumberFormat="1" applyFont="1" applyFill="1" applyBorder="1" applyAlignment="1" applyProtection="1">
      <alignment horizontal="center" vertical="center"/>
      <protection locked="0"/>
    </xf>
    <xf numFmtId="175" fontId="18" fillId="43" borderId="4" xfId="0" applyNumberFormat="1" applyFont="1" applyFill="1" applyBorder="1" applyAlignment="1" applyProtection="1">
      <alignment horizontal="center" vertical="center"/>
      <protection locked="0"/>
    </xf>
    <xf numFmtId="175" fontId="18" fillId="43" borderId="5" xfId="0" applyNumberFormat="1" applyFont="1" applyFill="1" applyBorder="1" applyAlignment="1" applyProtection="1">
      <alignment horizontal="center" vertical="center"/>
      <protection locked="0"/>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0" xfId="0" applyFont="1" applyAlignment="1">
      <alignment horizontal="center" vertical="center" wrapText="1"/>
    </xf>
    <xf numFmtId="0" fontId="34" fillId="0" borderId="12"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0" xfId="0" applyFont="1" applyBorder="1" applyAlignment="1">
      <alignment horizontal="center" vertical="center" wrapText="1"/>
    </xf>
    <xf numFmtId="166" fontId="18" fillId="5" borderId="4" xfId="0" applyNumberFormat="1" applyFont="1" applyFill="1" applyBorder="1" applyAlignment="1" applyProtection="1">
      <alignment horizontal="left"/>
      <protection locked="0"/>
    </xf>
    <xf numFmtId="0" fontId="18"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168" fontId="18" fillId="43" borderId="3" xfId="0" applyNumberFormat="1" applyFont="1" applyFill="1" applyBorder="1" applyAlignment="1" applyProtection="1">
      <alignment horizontal="center" vertical="center"/>
      <protection locked="0"/>
    </xf>
    <xf numFmtId="168" fontId="18" fillId="43" borderId="4" xfId="0" applyNumberFormat="1" applyFont="1" applyFill="1" applyBorder="1" applyAlignment="1" applyProtection="1">
      <alignment horizontal="center" vertical="center"/>
      <protection locked="0"/>
    </xf>
    <xf numFmtId="168" fontId="18" fillId="43" borderId="5" xfId="0" applyNumberFormat="1" applyFont="1" applyFill="1" applyBorder="1" applyAlignment="1" applyProtection="1">
      <alignment horizontal="center" vertical="center"/>
      <protection locked="0"/>
    </xf>
    <xf numFmtId="0" fontId="18" fillId="5" borderId="4" xfId="0" applyFont="1" applyFill="1" applyBorder="1" applyAlignment="1" applyProtection="1">
      <alignment wrapText="1"/>
      <protection locked="0"/>
    </xf>
    <xf numFmtId="10" fontId="0" fillId="5" borderId="4" xfId="0" applyNumberFormat="1" applyFill="1" applyBorder="1" applyAlignment="1" applyProtection="1">
      <alignment horizontal="center"/>
      <protection locked="0"/>
    </xf>
    <xf numFmtId="0" fontId="25" fillId="0" borderId="6" xfId="0" applyFont="1" applyBorder="1" applyAlignment="1">
      <alignment horizontal="right"/>
    </xf>
    <xf numFmtId="172" fontId="25" fillId="0" borderId="11" xfId="0" applyNumberFormat="1" applyFont="1" applyBorder="1" applyAlignment="1">
      <alignment horizontal="center" vertical="center" wrapText="1"/>
    </xf>
    <xf numFmtId="0" fontId="55" fillId="0" borderId="1" xfId="0" applyFont="1" applyBorder="1" applyAlignment="1">
      <alignment horizontal="center" vertical="center" wrapText="1"/>
    </xf>
    <xf numFmtId="0" fontId="55" fillId="0" borderId="2" xfId="0" applyFont="1" applyBorder="1" applyAlignment="1">
      <alignment horizontal="center" vertical="center" wrapText="1"/>
    </xf>
    <xf numFmtId="0" fontId="55" fillId="0" borderId="7"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0" xfId="0" applyFont="1" applyAlignment="1">
      <alignment horizontal="center" vertical="center" wrapText="1"/>
    </xf>
    <xf numFmtId="0" fontId="55" fillId="0" borderId="12" xfId="0" applyFont="1" applyBorder="1" applyAlignment="1">
      <alignment horizontal="center" vertical="center" wrapText="1"/>
    </xf>
    <xf numFmtId="0" fontId="55" fillId="0" borderId="9" xfId="0" applyFont="1" applyBorder="1" applyAlignment="1">
      <alignment horizontal="center" vertical="center" wrapText="1"/>
    </xf>
    <xf numFmtId="0" fontId="55" fillId="0" borderId="6" xfId="0" applyFont="1" applyBorder="1" applyAlignment="1">
      <alignment horizontal="center" vertical="center" wrapText="1"/>
    </xf>
    <xf numFmtId="0" fontId="5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9" xfId="0" applyFont="1" applyBorder="1" applyAlignment="1">
      <alignment horizontal="right"/>
    </xf>
    <xf numFmtId="0" fontId="25" fillId="0" borderId="10" xfId="0" applyFont="1" applyBorder="1" applyAlignment="1">
      <alignment horizontal="right"/>
    </xf>
    <xf numFmtId="14" fontId="0" fillId="5" borderId="6" xfId="0" applyNumberFormat="1" applyFill="1" applyBorder="1" applyAlignment="1" applyProtection="1">
      <alignment horizontal="center"/>
      <protection locked="0"/>
    </xf>
    <xf numFmtId="0" fontId="25" fillId="0" borderId="7" xfId="0" applyFont="1" applyBorder="1" applyAlignment="1">
      <alignment horizontal="center" wrapText="1"/>
    </xf>
    <xf numFmtId="168" fontId="0" fillId="0" borderId="11" xfId="0" applyNumberFormat="1" applyBorder="1"/>
    <xf numFmtId="171" fontId="18" fillId="0" borderId="0" xfId="543" applyNumberFormat="1" applyAlignment="1">
      <alignment horizontal="right"/>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8" fillId="5" borderId="10" xfId="0" applyNumberFormat="1" applyFont="1" applyFill="1" applyBorder="1" applyAlignment="1" applyProtection="1">
      <alignment horizontal="right"/>
      <protection locked="0"/>
    </xf>
    <xf numFmtId="168" fontId="18" fillId="5" borderId="13" xfId="0" applyNumberFormat="1" applyFont="1" applyFill="1" applyBorder="1" applyAlignment="1" applyProtection="1">
      <alignment horizontal="right"/>
      <protection locked="0"/>
    </xf>
    <xf numFmtId="0" fontId="25" fillId="0" borderId="2" xfId="0" applyFont="1" applyBorder="1" applyAlignment="1">
      <alignment horizontal="right"/>
    </xf>
    <xf numFmtId="0" fontId="25" fillId="0" borderId="7" xfId="0" applyFont="1" applyBorder="1" applyAlignment="1">
      <alignment horizontal="right"/>
    </xf>
    <xf numFmtId="9" fontId="18" fillId="0" borderId="0" xfId="543" applyNumberFormat="1" applyAlignment="1">
      <alignment horizontal="center" vertical="center"/>
    </xf>
    <xf numFmtId="0" fontId="18"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7" fillId="0" borderId="4" xfId="0" applyFont="1" applyBorder="1" applyAlignment="1">
      <alignment horizontal="center"/>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0" fontId="25" fillId="5" borderId="11" xfId="0" applyFont="1" applyFill="1" applyBorder="1" applyAlignment="1" applyProtection="1">
      <alignment horizontal="center"/>
      <protection locked="0"/>
    </xf>
    <xf numFmtId="0" fontId="27" fillId="0" borderId="11" xfId="0" applyFont="1" applyBorder="1" applyAlignment="1">
      <alignment horizontal="center"/>
    </xf>
    <xf numFmtId="0" fontId="27" fillId="5" borderId="6" xfId="0" applyFont="1" applyFill="1" applyBorder="1" applyAlignment="1" applyProtection="1">
      <alignment horizontal="center"/>
      <protection locked="0"/>
    </xf>
    <xf numFmtId="168" fontId="157" fillId="0" borderId="0" xfId="0" applyNumberFormat="1" applyFont="1" applyAlignment="1">
      <alignment horizontal="center" vertical="center" wrapText="1"/>
    </xf>
    <xf numFmtId="0" fontId="0" fillId="5" borderId="3" xfId="0" quotePrefix="1" applyFill="1" applyBorder="1" applyAlignment="1" applyProtection="1">
      <alignment horizontal="right"/>
      <protection locked="0"/>
    </xf>
    <xf numFmtId="0" fontId="25" fillId="0" borderId="9" xfId="0" applyFont="1" applyBorder="1" applyAlignment="1">
      <alignment horizontal="center"/>
    </xf>
    <xf numFmtId="0" fontId="27" fillId="5" borderId="9" xfId="0" applyFont="1" applyFill="1" applyBorder="1" applyAlignment="1" applyProtection="1">
      <alignment horizontal="center"/>
      <protection locked="0"/>
    </xf>
    <xf numFmtId="1" fontId="27" fillId="5" borderId="3" xfId="0" applyNumberFormat="1" applyFont="1" applyFill="1" applyBorder="1" applyAlignment="1" applyProtection="1">
      <alignment horizontal="right" vertical="top"/>
      <protection locked="0"/>
    </xf>
    <xf numFmtId="1" fontId="27" fillId="5" borderId="4" xfId="0" applyNumberFormat="1" applyFont="1" applyFill="1" applyBorder="1" applyAlignment="1" applyProtection="1">
      <alignment horizontal="right" vertical="top"/>
      <protection locked="0"/>
    </xf>
    <xf numFmtId="1" fontId="27" fillId="5" borderId="5" xfId="0" applyNumberFormat="1" applyFont="1" applyFill="1" applyBorder="1" applyAlignment="1" applyProtection="1">
      <alignment horizontal="right" vertical="top"/>
      <protection locked="0"/>
    </xf>
    <xf numFmtId="0" fontId="18" fillId="43" borderId="4" xfId="0" applyFont="1" applyFill="1" applyBorder="1" applyAlignment="1" applyProtection="1">
      <alignment horizontal="center"/>
      <protection locked="0"/>
    </xf>
    <xf numFmtId="0" fontId="18"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8" fillId="0" borderId="3" xfId="0" applyFont="1" applyBorder="1" applyAlignment="1">
      <alignment horizontal="left"/>
    </xf>
    <xf numFmtId="0" fontId="18" fillId="0" borderId="4" xfId="0" applyFont="1" applyBorder="1" applyAlignment="1">
      <alignment horizontal="left"/>
    </xf>
    <xf numFmtId="0" fontId="18" fillId="0" borderId="5" xfId="0" applyFont="1" applyBorder="1" applyAlignment="1">
      <alignment horizontal="left"/>
    </xf>
    <xf numFmtId="168" fontId="18" fillId="0" borderId="3" xfId="0" applyNumberFormat="1" applyFont="1" applyBorder="1" applyAlignment="1">
      <alignment horizontal="left" vertical="top"/>
    </xf>
    <xf numFmtId="168" fontId="27" fillId="0" borderId="4" xfId="0" applyNumberFormat="1" applyFont="1" applyBorder="1" applyAlignment="1">
      <alignment horizontal="left" vertical="top"/>
    </xf>
    <xf numFmtId="168" fontId="27" fillId="0" borderId="5" xfId="0" applyNumberFormat="1" applyFont="1" applyBorder="1" applyAlignment="1">
      <alignment horizontal="left" vertical="top"/>
    </xf>
    <xf numFmtId="168" fontId="27" fillId="5" borderId="3" xfId="0" applyNumberFormat="1" applyFont="1" applyFill="1" applyBorder="1" applyAlignment="1" applyProtection="1">
      <alignment horizontal="left" vertical="top"/>
      <protection locked="0"/>
    </xf>
    <xf numFmtId="168" fontId="27" fillId="5" borderId="4" xfId="0" applyNumberFormat="1" applyFont="1" applyFill="1" applyBorder="1" applyAlignment="1" applyProtection="1">
      <alignment horizontal="left" vertical="top"/>
      <protection locked="0"/>
    </xf>
    <xf numFmtId="168" fontId="27" fillId="5" borderId="5" xfId="0" applyNumberFormat="1" applyFont="1" applyFill="1" applyBorder="1" applyAlignment="1" applyProtection="1">
      <alignment horizontal="left" vertical="top"/>
      <protection locked="0"/>
    </xf>
    <xf numFmtId="172" fontId="0" fillId="5" borderId="6" xfId="0" applyNumberFormat="1" applyFill="1" applyBorder="1" applyAlignment="1" applyProtection="1">
      <alignment horizontal="center"/>
      <protection locked="0"/>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5"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5" xfId="0" applyBorder="1" applyAlignment="1">
      <alignment horizontal="left"/>
    </xf>
    <xf numFmtId="168" fontId="54" fillId="0" borderId="2" xfId="0" applyNumberFormat="1" applyFont="1" applyBorder="1" applyAlignment="1">
      <alignment horizontal="left" vertical="top" wrapText="1"/>
    </xf>
    <xf numFmtId="168" fontId="54"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3" fontId="27" fillId="5" borderId="11" xfId="0" applyNumberFormat="1" applyFont="1" applyFill="1" applyBorder="1" applyAlignment="1" applyProtection="1">
      <alignment horizontal="center"/>
      <protection locked="0"/>
    </xf>
    <xf numFmtId="168" fontId="27" fillId="0" borderId="3" xfId="0" applyNumberFormat="1" applyFont="1" applyBorder="1" applyAlignment="1">
      <alignment horizontal="left" vertical="top"/>
    </xf>
    <xf numFmtId="165" fontId="27" fillId="5" borderId="3" xfId="0" applyNumberFormat="1" applyFont="1" applyFill="1" applyBorder="1" applyAlignment="1" applyProtection="1">
      <alignment horizontal="center"/>
      <protection locked="0"/>
    </xf>
    <xf numFmtId="165" fontId="27" fillId="5" borderId="4" xfId="0" applyNumberFormat="1" applyFont="1" applyFill="1" applyBorder="1" applyAlignment="1" applyProtection="1">
      <alignment horizontal="center"/>
      <protection locked="0"/>
    </xf>
    <xf numFmtId="165" fontId="27"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25" fillId="0" borderId="5" xfId="0" applyFont="1" applyBorder="1" applyAlignment="1">
      <alignment horizontal="center"/>
    </xf>
    <xf numFmtId="0" fontId="18" fillId="0" borderId="3" xfId="271" applyFont="1" applyBorder="1" applyAlignment="1">
      <alignment horizontal="left"/>
    </xf>
    <xf numFmtId="0" fontId="18" fillId="0" borderId="4" xfId="271" applyFont="1" applyBorder="1" applyAlignment="1">
      <alignment horizontal="left"/>
    </xf>
    <xf numFmtId="0" fontId="18" fillId="0" borderId="5" xfId="271" applyFont="1" applyBorder="1" applyAlignment="1">
      <alignment horizontal="left"/>
    </xf>
    <xf numFmtId="10" fontId="27" fillId="5" borderId="4" xfId="0" applyNumberFormat="1" applyFont="1" applyFill="1" applyBorder="1" applyAlignment="1" applyProtection="1">
      <alignment horizontal="righ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8" fillId="5" borderId="6" xfId="271" applyNumberFormat="1" applyFont="1" applyFill="1" applyBorder="1" applyAlignment="1" applyProtection="1">
      <alignment horizontal="left"/>
      <protection locked="0"/>
    </xf>
    <xf numFmtId="166" fontId="27" fillId="5" borderId="6" xfId="271" applyNumberFormat="1" applyFill="1" applyBorder="1" applyAlignment="1" applyProtection="1">
      <alignment horizontal="left"/>
      <protection locked="0"/>
    </xf>
    <xf numFmtId="166" fontId="27" fillId="5" borderId="4" xfId="271" applyNumberFormat="1" applyFill="1" applyBorder="1" applyAlignment="1" applyProtection="1">
      <alignment horizontal="left"/>
      <protection locked="0"/>
    </xf>
    <xf numFmtId="0" fontId="18" fillId="5" borderId="4" xfId="569" applyFill="1" applyBorder="1" applyAlignment="1" applyProtection="1">
      <alignment horizontal="left"/>
      <protection locked="0"/>
    </xf>
    <xf numFmtId="0" fontId="18" fillId="5" borderId="6" xfId="244" applyFont="1" applyFill="1" applyBorder="1" applyAlignment="1" applyProtection="1">
      <alignment horizontal="left"/>
      <protection locked="0"/>
    </xf>
    <xf numFmtId="0" fontId="18" fillId="5" borderId="0" xfId="244" applyFont="1" applyFill="1" applyBorder="1" applyAlignment="1" applyProtection="1">
      <alignment horizontal="left"/>
      <protection locked="0"/>
    </xf>
    <xf numFmtId="0" fontId="26"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43" borderId="6" xfId="0" applyFill="1" applyBorder="1" applyAlignment="1" applyProtection="1">
      <alignment horizontal="center"/>
      <protection locked="0"/>
    </xf>
    <xf numFmtId="0" fontId="27" fillId="0" borderId="6" xfId="0" applyFont="1" applyBorder="1" applyAlignment="1">
      <alignment horizontal="left"/>
    </xf>
    <xf numFmtId="166" fontId="18" fillId="5" borderId="6" xfId="0" applyNumberFormat="1"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8" fillId="0" borderId="6" xfId="0" applyFont="1" applyBorder="1" applyAlignment="1" applyProtection="1">
      <alignment horizontal="center"/>
      <protection locked="0"/>
    </xf>
    <xf numFmtId="0" fontId="18" fillId="0" borderId="0" xfId="0" applyFont="1" applyAlignment="1" applyProtection="1">
      <alignment horizontal="left"/>
      <protection locked="0"/>
    </xf>
    <xf numFmtId="166" fontId="0" fillId="5" borderId="6" xfId="0" applyNumberFormat="1" applyFill="1" applyBorder="1" applyAlignment="1" applyProtection="1">
      <alignment horizontal="left"/>
      <protection locked="0"/>
    </xf>
    <xf numFmtId="49" fontId="0" fillId="5" borderId="6" xfId="0" applyNumberFormat="1" applyFill="1" applyBorder="1" applyAlignment="1" applyProtection="1">
      <alignment horizontal="center"/>
      <protection locked="0"/>
    </xf>
    <xf numFmtId="9" fontId="26" fillId="0" borderId="3" xfId="4494" applyFont="1" applyBorder="1" applyAlignment="1" applyProtection="1">
      <alignment horizontal="center"/>
    </xf>
    <xf numFmtId="9" fontId="26" fillId="0" borderId="5" xfId="4494" applyFont="1" applyBorder="1" applyAlignment="1" applyProtection="1">
      <alignment horizontal="center"/>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8"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0" fontId="18"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7"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18" fillId="5" borderId="4" xfId="569" applyNumberFormat="1" applyFill="1" applyBorder="1" applyAlignment="1" applyProtection="1">
      <alignment horizontal="left"/>
      <protection locked="0"/>
    </xf>
    <xf numFmtId="166" fontId="18" fillId="5" borderId="6" xfId="569" applyNumberFormat="1" applyFill="1" applyBorder="1" applyAlignment="1" applyProtection="1">
      <alignment horizontal="left"/>
      <protection locked="0"/>
    </xf>
    <xf numFmtId="0" fontId="18" fillId="5" borderId="6" xfId="569" applyFill="1" applyBorder="1" applyAlignment="1" applyProtection="1">
      <alignment horizontal="left"/>
      <protection locked="0"/>
    </xf>
    <xf numFmtId="0" fontId="26" fillId="43" borderId="6" xfId="0" applyFont="1" applyFill="1" applyBorder="1" applyAlignment="1" applyProtection="1">
      <alignment horizontal="left"/>
      <protection locked="0"/>
    </xf>
    <xf numFmtId="0" fontId="154" fillId="0" borderId="0" xfId="0" applyFont="1" applyAlignment="1" applyProtection="1">
      <alignment horizontal="left" vertical="top" wrapText="1"/>
      <protection locked="0"/>
    </xf>
    <xf numFmtId="0" fontId="18" fillId="0" borderId="6" xfId="0" applyFont="1" applyBorder="1" applyAlignment="1" applyProtection="1">
      <alignment horizontal="left"/>
      <protection locked="0"/>
    </xf>
    <xf numFmtId="0" fontId="19" fillId="0" borderId="0" xfId="244" applyFill="1" applyAlignment="1" applyProtection="1">
      <alignment horizontal="left"/>
      <protection locked="0"/>
    </xf>
    <xf numFmtId="168" fontId="18" fillId="0" borderId="6" xfId="0" applyNumberFormat="1" applyFont="1" applyBorder="1" applyAlignment="1">
      <alignment horizontal="center"/>
    </xf>
    <xf numFmtId="10" fontId="27" fillId="0" borderId="11" xfId="0" applyNumberFormat="1" applyFont="1" applyBorder="1" applyAlignment="1">
      <alignment horizontal="center"/>
    </xf>
    <xf numFmtId="0" fontId="0" fillId="5" borderId="6" xfId="0" applyFill="1" applyBorder="1" applyProtection="1">
      <protection locked="0"/>
    </xf>
    <xf numFmtId="0" fontId="18" fillId="0" borderId="4" xfId="0" applyFont="1" applyBorder="1" applyAlignment="1" applyProtection="1">
      <alignment horizontal="left" wrapText="1"/>
      <protection locked="0"/>
    </xf>
    <xf numFmtId="0" fontId="27" fillId="0" borderId="4" xfId="0" applyFont="1" applyBorder="1" applyAlignment="1" applyProtection="1">
      <alignment horizontal="left"/>
      <protection locked="0"/>
    </xf>
    <xf numFmtId="0" fontId="18" fillId="43" borderId="6" xfId="0" applyFont="1" applyFill="1" applyBorder="1" applyAlignment="1" applyProtection="1">
      <alignment vertical="center"/>
      <protection locked="0"/>
    </xf>
    <xf numFmtId="0" fontId="27" fillId="43" borderId="6" xfId="0" applyFont="1" applyFill="1" applyBorder="1" applyAlignment="1" applyProtection="1">
      <alignment horizontal="left"/>
      <protection locked="0"/>
    </xf>
    <xf numFmtId="0" fontId="18" fillId="0" borderId="6" xfId="0" applyFont="1" applyBorder="1" applyAlignment="1">
      <alignment horizontal="left"/>
    </xf>
    <xf numFmtId="0" fontId="27" fillId="5" borderId="11" xfId="0" applyFont="1" applyFill="1" applyBorder="1" applyAlignment="1" applyProtection="1">
      <alignment horizontal="center"/>
      <protection locked="0"/>
    </xf>
    <xf numFmtId="1" fontId="27" fillId="5" borderId="6" xfId="0" applyNumberFormat="1" applyFont="1" applyFill="1" applyBorder="1" applyAlignment="1" applyProtection="1">
      <alignment horizontal="right"/>
      <protection locked="0"/>
    </xf>
    <xf numFmtId="168" fontId="27" fillId="0" borderId="11" xfId="0" applyNumberFormat="1" applyFont="1" applyBorder="1" applyAlignment="1">
      <alignment horizontal="center"/>
    </xf>
    <xf numFmtId="0" fontId="27" fillId="5" borderId="0" xfId="0" applyFont="1" applyFill="1" applyAlignment="1" applyProtection="1">
      <alignment horizontal="left" vertical="top" wrapText="1"/>
      <protection locked="0"/>
    </xf>
    <xf numFmtId="0" fontId="27"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7" fillId="5" borderId="11" xfId="0" quotePrefix="1" applyNumberFormat="1" applyFon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7" fillId="5" borderId="6" xfId="0" applyNumberFormat="1" applyFont="1" applyFill="1" applyBorder="1" applyAlignment="1" applyProtection="1">
      <alignment horizontal="right"/>
      <protection locked="0"/>
    </xf>
    <xf numFmtId="178" fontId="27"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2" fontId="0" fillId="0" borderId="6" xfId="0" applyNumberFormat="1" applyBorder="1" applyAlignment="1">
      <alignment horizontal="center"/>
    </xf>
    <xf numFmtId="14" fontId="27" fillId="5" borderId="4" xfId="0" applyNumberFormat="1" applyFont="1" applyFill="1" applyBorder="1" applyAlignment="1" applyProtection="1">
      <alignment horizontal="right"/>
      <protection locked="0"/>
    </xf>
    <xf numFmtId="0" fontId="37" fillId="5" borderId="6" xfId="0" applyFont="1" applyFill="1" applyBorder="1" applyAlignment="1" applyProtection="1">
      <alignment horizontal="left"/>
      <protection locked="0"/>
    </xf>
    <xf numFmtId="3" fontId="0" fillId="0" borderId="6" xfId="0" applyNumberFormat="1" applyBorder="1" applyAlignment="1">
      <alignment horizontal="right"/>
    </xf>
    <xf numFmtId="0" fontId="18" fillId="43" borderId="4" xfId="0" applyFont="1" applyFill="1" applyBorder="1" applyAlignment="1" applyProtection="1">
      <alignment horizontal="left" wrapText="1"/>
      <protection locked="0"/>
    </xf>
    <xf numFmtId="0" fontId="27" fillId="5" borderId="4" xfId="0" applyFont="1" applyFill="1" applyBorder="1" applyAlignment="1" applyProtection="1">
      <alignment horizontal="right"/>
      <protection locked="0"/>
    </xf>
    <xf numFmtId="168" fontId="27" fillId="5" borderId="4" xfId="0" applyNumberFormat="1" applyFont="1" applyFill="1" applyBorder="1" applyAlignment="1" applyProtection="1">
      <alignment horizontal="right"/>
      <protection locked="0"/>
    </xf>
    <xf numFmtId="0" fontId="18" fillId="5" borderId="4" xfId="0" applyFont="1" applyFill="1" applyBorder="1" applyAlignment="1" applyProtection="1">
      <alignment horizontal="center" wrapText="1"/>
      <protection locked="0"/>
    </xf>
    <xf numFmtId="2" fontId="0" fillId="5" borderId="6" xfId="0" applyNumberFormat="1" applyFill="1" applyBorder="1" applyAlignment="1" applyProtection="1">
      <alignment horizontal="center"/>
      <protection locked="0"/>
    </xf>
    <xf numFmtId="0" fontId="0" fillId="0" borderId="6" xfId="0" applyBorder="1" applyAlignment="1" applyProtection="1">
      <alignment horizontal="center"/>
      <protection locked="0"/>
    </xf>
    <xf numFmtId="3" fontId="27" fillId="0" borderId="11" xfId="0" applyNumberFormat="1" applyFont="1" applyBorder="1" applyAlignment="1">
      <alignment horizontal="center"/>
    </xf>
    <xf numFmtId="0" fontId="25" fillId="0" borderId="11" xfId="0" applyFont="1" applyBorder="1" applyAlignment="1">
      <alignment horizontal="center" vertical="center"/>
    </xf>
    <xf numFmtId="0" fontId="18"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8" fillId="0" borderId="4" xfId="0" applyNumberFormat="1" applyFont="1" applyBorder="1" applyAlignment="1">
      <alignment horizontal="left" vertical="top"/>
    </xf>
    <xf numFmtId="168" fontId="18" fillId="0" borderId="5" xfId="0" applyNumberFormat="1" applyFont="1" applyBorder="1" applyAlignment="1">
      <alignment horizontal="left" vertical="top"/>
    </xf>
    <xf numFmtId="168" fontId="185" fillId="0" borderId="105" xfId="543" applyNumberFormat="1" applyFont="1" applyBorder="1" applyAlignment="1">
      <alignment horizontal="right" vertical="center" wrapText="1"/>
    </xf>
    <xf numFmtId="175" fontId="185" fillId="0" borderId="107" xfId="543" applyNumberFormat="1" applyFont="1" applyBorder="1" applyAlignment="1">
      <alignment horizontal="center" vertical="center" wrapText="1"/>
    </xf>
    <xf numFmtId="175" fontId="185" fillId="0" borderId="108" xfId="543" applyNumberFormat="1" applyFont="1" applyBorder="1" applyAlignment="1">
      <alignment horizontal="center" vertical="center" wrapText="1"/>
    </xf>
    <xf numFmtId="175" fontId="185" fillId="0" borderId="109" xfId="543" applyNumberFormat="1" applyFont="1" applyBorder="1" applyAlignment="1">
      <alignment horizontal="center" vertical="center" wrapText="1"/>
    </xf>
    <xf numFmtId="0" fontId="184"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9" fillId="2" borderId="3" xfId="0" applyFont="1" applyFill="1" applyBorder="1" applyAlignment="1">
      <alignment horizontal="center" vertical="top"/>
    </xf>
    <xf numFmtId="0" fontId="59" fillId="2" borderId="4" xfId="0" applyFont="1" applyFill="1" applyBorder="1" applyAlignment="1">
      <alignment horizontal="center" vertical="top"/>
    </xf>
    <xf numFmtId="0" fontId="59" fillId="2" borderId="5" xfId="0" applyFont="1" applyFill="1" applyBorder="1" applyAlignment="1">
      <alignment horizontal="center" vertical="top"/>
    </xf>
    <xf numFmtId="0" fontId="27" fillId="0" borderId="6" xfId="0" applyFont="1" applyBorder="1" applyAlignment="1">
      <alignment vertical="top" wrapText="1"/>
    </xf>
    <xf numFmtId="177" fontId="27" fillId="5" borderId="6" xfId="0" applyNumberFormat="1" applyFont="1" applyFill="1" applyBorder="1" applyAlignment="1" applyProtection="1">
      <alignment horizontal="left" vertical="top" wrapText="1"/>
      <protection locked="0"/>
    </xf>
    <xf numFmtId="0" fontId="27" fillId="0" borderId="2" xfId="0" applyFont="1" applyBorder="1" applyAlignment="1">
      <alignment vertical="top" wrapText="1"/>
    </xf>
    <xf numFmtId="0" fontId="54" fillId="0" borderId="0" xfId="0" applyFont="1" applyAlignment="1">
      <alignment vertical="top" wrapText="1"/>
    </xf>
    <xf numFmtId="0" fontId="27" fillId="0" borderId="2" xfId="0" applyFont="1" applyBorder="1" applyAlignment="1">
      <alignment horizontal="left" vertical="top" wrapText="1"/>
    </xf>
    <xf numFmtId="0" fontId="55" fillId="0" borderId="0" xfId="0" applyFont="1" applyAlignment="1">
      <alignment vertical="top" wrapText="1"/>
    </xf>
    <xf numFmtId="0" fontId="27" fillId="0" borderId="0" xfId="0" applyFont="1" applyAlignment="1">
      <alignment vertical="top" wrapText="1"/>
    </xf>
    <xf numFmtId="0" fontId="27" fillId="0" borderId="6" xfId="0" applyFont="1" applyBorder="1" applyAlignment="1">
      <alignment horizontal="right" vertical="top" wrapText="1"/>
    </xf>
    <xf numFmtId="0" fontId="55" fillId="0" borderId="0" xfId="569" applyFont="1" applyAlignment="1">
      <alignment vertical="top" wrapText="1"/>
    </xf>
    <xf numFmtId="0" fontId="18" fillId="0" borderId="0" xfId="569" applyAlignment="1">
      <alignment horizontal="right" vertical="top" wrapText="1"/>
    </xf>
    <xf numFmtId="0" fontId="24" fillId="3" borderId="3" xfId="0" applyFont="1" applyFill="1" applyBorder="1" applyAlignment="1">
      <alignment horizontal="left" vertical="top"/>
    </xf>
    <xf numFmtId="0" fontId="24" fillId="3" borderId="4" xfId="0" applyFont="1" applyFill="1" applyBorder="1" applyAlignment="1">
      <alignment horizontal="left" vertical="top"/>
    </xf>
    <xf numFmtId="0" fontId="24" fillId="3" borderId="5" xfId="0" applyFont="1" applyFill="1" applyBorder="1" applyAlignment="1">
      <alignment horizontal="left" vertical="top"/>
    </xf>
    <xf numFmtId="0" fontId="103" fillId="44" borderId="0" xfId="8733" applyFont="1" applyFill="1" applyAlignment="1">
      <alignment horizontal="left"/>
    </xf>
    <xf numFmtId="0" fontId="3" fillId="48" borderId="80" xfId="8733" applyFill="1" applyBorder="1" applyAlignment="1" applyProtection="1">
      <alignment horizontal="left"/>
      <protection locked="0"/>
    </xf>
    <xf numFmtId="0" fontId="3" fillId="48" borderId="79" xfId="8733" applyFill="1" applyBorder="1" applyAlignment="1" applyProtection="1">
      <alignment horizontal="left"/>
      <protection locked="0"/>
    </xf>
    <xf numFmtId="0" fontId="3" fillId="48" borderId="78" xfId="8733" applyFill="1" applyBorder="1" applyAlignment="1" applyProtection="1">
      <alignment horizontal="left"/>
      <protection locked="0"/>
    </xf>
    <xf numFmtId="0" fontId="166" fillId="44" borderId="0" xfId="8733" applyFont="1" applyFill="1" applyAlignment="1">
      <alignment horizontal="left" vertical="top"/>
    </xf>
    <xf numFmtId="0" fontId="103" fillId="44" borderId="0" xfId="8730" applyFont="1" applyFill="1" applyBorder="1" applyAlignment="1">
      <alignment horizontal="left" vertical="top"/>
    </xf>
    <xf numFmtId="14" fontId="3" fillId="48" borderId="80" xfId="8733" applyNumberFormat="1" applyFill="1" applyBorder="1" applyAlignment="1" applyProtection="1">
      <alignment horizontal="center"/>
      <protection locked="0"/>
    </xf>
    <xf numFmtId="14" fontId="3" fillId="48" borderId="79" xfId="8733" applyNumberFormat="1" applyFill="1" applyBorder="1" applyAlignment="1" applyProtection="1">
      <alignment horizontal="center"/>
      <protection locked="0"/>
    </xf>
    <xf numFmtId="14" fontId="3" fillId="48" borderId="78" xfId="8733" applyNumberFormat="1" applyFill="1" applyBorder="1" applyAlignment="1" applyProtection="1">
      <alignment horizontal="center"/>
      <protection locked="0"/>
    </xf>
    <xf numFmtId="0" fontId="167" fillId="47" borderId="0" xfId="8733" applyFont="1" applyFill="1" applyAlignment="1">
      <alignment horizontal="left" vertical="top" wrapText="1"/>
    </xf>
    <xf numFmtId="0" fontId="103" fillId="47" borderId="42" xfId="8733" applyFont="1" applyFill="1" applyBorder="1" applyAlignment="1">
      <alignment horizontal="center"/>
    </xf>
    <xf numFmtId="0" fontId="3" fillId="48" borderId="80" xfId="8733" applyFill="1" applyBorder="1" applyAlignment="1" applyProtection="1">
      <alignment horizontal="center"/>
      <protection locked="0"/>
    </xf>
    <xf numFmtId="0" fontId="3" fillId="48" borderId="79" xfId="8733" applyFill="1" applyBorder="1" applyAlignment="1" applyProtection="1">
      <alignment horizontal="center"/>
      <protection locked="0"/>
    </xf>
    <xf numFmtId="0" fontId="3" fillId="48" borderId="78" xfId="8733" applyFill="1" applyBorder="1" applyAlignment="1" applyProtection="1">
      <alignment horizontal="center"/>
      <protection locked="0"/>
    </xf>
    <xf numFmtId="0" fontId="168" fillId="47" borderId="65" xfId="8733" applyFont="1" applyFill="1" applyBorder="1" applyAlignment="1">
      <alignment horizontal="center"/>
    </xf>
    <xf numFmtId="0" fontId="168" fillId="47" borderId="29" xfId="8733" applyFont="1" applyFill="1" applyBorder="1" applyAlignment="1">
      <alignment horizontal="center"/>
    </xf>
    <xf numFmtId="0" fontId="168" fillId="47" borderId="31" xfId="8733" applyFont="1" applyFill="1" applyBorder="1" applyAlignment="1">
      <alignment horizontal="center"/>
    </xf>
    <xf numFmtId="0" fontId="3" fillId="47" borderId="66" xfId="8733" applyFill="1" applyBorder="1" applyAlignment="1">
      <alignment horizontal="center"/>
    </xf>
    <xf numFmtId="0" fontId="3" fillId="47" borderId="0" xfId="8733" applyFill="1" applyAlignment="1">
      <alignment horizontal="center"/>
    </xf>
    <xf numFmtId="0" fontId="3" fillId="47" borderId="41" xfId="8733" applyFill="1" applyBorder="1" applyAlignment="1">
      <alignment horizontal="center"/>
    </xf>
    <xf numFmtId="0" fontId="167" fillId="47" borderId="66" xfId="8733" applyFont="1" applyFill="1" applyBorder="1" applyAlignment="1">
      <alignment horizontal="center"/>
    </xf>
    <xf numFmtId="0" fontId="167" fillId="47" borderId="0" xfId="8733" applyFont="1" applyFill="1" applyAlignment="1">
      <alignment horizontal="center"/>
    </xf>
    <xf numFmtId="0" fontId="167" fillId="47" borderId="41" xfId="8733" applyFont="1" applyFill="1" applyBorder="1" applyAlignment="1">
      <alignment horizontal="center"/>
    </xf>
    <xf numFmtId="0" fontId="103" fillId="47" borderId="66" xfId="8733" applyFont="1" applyFill="1" applyBorder="1" applyAlignment="1">
      <alignment horizontal="center"/>
    </xf>
    <xf numFmtId="0" fontId="103" fillId="47" borderId="0" xfId="8733" applyFont="1" applyFill="1" applyAlignment="1">
      <alignment horizontal="center"/>
    </xf>
    <xf numFmtId="0" fontId="103" fillId="47" borderId="41" xfId="8733" applyFont="1" applyFill="1" applyBorder="1" applyAlignment="1">
      <alignment horizontal="center"/>
    </xf>
    <xf numFmtId="0" fontId="103" fillId="47" borderId="0" xfId="8733" applyFont="1" applyFill="1" applyAlignment="1">
      <alignment horizontal="left"/>
    </xf>
    <xf numFmtId="0" fontId="169" fillId="50" borderId="3" xfId="698" applyNumberFormat="1" applyFont="1" applyFill="1" applyBorder="1" applyAlignment="1" applyProtection="1">
      <alignment horizontal="center"/>
      <protection locked="0"/>
    </xf>
    <xf numFmtId="0" fontId="169" fillId="50" borderId="4" xfId="698" applyNumberFormat="1" applyFont="1" applyFill="1" applyBorder="1" applyAlignment="1" applyProtection="1">
      <alignment horizontal="center"/>
      <protection locked="0"/>
    </xf>
    <xf numFmtId="0" fontId="169" fillId="50" borderId="81" xfId="698" applyNumberFormat="1" applyFont="1" applyFill="1" applyBorder="1" applyAlignment="1" applyProtection="1">
      <alignment horizontal="center"/>
      <protection locked="0"/>
    </xf>
    <xf numFmtId="43" fontId="167" fillId="49" borderId="72" xfId="698" applyFont="1" applyFill="1" applyBorder="1" applyAlignment="1" applyProtection="1">
      <alignment horizontal="right"/>
      <protection hidden="1"/>
    </xf>
    <xf numFmtId="43" fontId="167" fillId="49" borderId="11" xfId="698" applyFont="1" applyFill="1" applyBorder="1" applyAlignment="1" applyProtection="1">
      <alignment horizontal="right"/>
      <protection hidden="1"/>
    </xf>
    <xf numFmtId="44" fontId="167" fillId="0" borderId="11" xfId="700" applyFont="1" applyBorder="1" applyAlignment="1" applyProtection="1">
      <alignment horizontal="center"/>
      <protection hidden="1"/>
    </xf>
    <xf numFmtId="168" fontId="167" fillId="0" borderId="11" xfId="700" applyNumberFormat="1" applyFont="1" applyBorder="1" applyAlignment="1" applyProtection="1">
      <alignment horizontal="center"/>
      <protection hidden="1"/>
    </xf>
    <xf numFmtId="9" fontId="167" fillId="0" borderId="11" xfId="4494" applyFont="1" applyBorder="1" applyAlignment="1" applyProtection="1">
      <alignment horizontal="center"/>
      <protection hidden="1"/>
    </xf>
    <xf numFmtId="43" fontId="167" fillId="49" borderId="3" xfId="698" applyFont="1" applyFill="1" applyBorder="1" applyAlignment="1" applyProtection="1">
      <alignment horizontal="center"/>
      <protection hidden="1"/>
    </xf>
    <xf numFmtId="43" fontId="167" fillId="49" borderId="4" xfId="698" applyFont="1" applyFill="1" applyBorder="1" applyAlignment="1" applyProtection="1">
      <alignment horizontal="center"/>
      <protection hidden="1"/>
    </xf>
    <xf numFmtId="43" fontId="167" fillId="49" borderId="81" xfId="698" applyFont="1" applyFill="1" applyBorder="1" applyAlignment="1" applyProtection="1">
      <alignment horizontal="center"/>
      <protection hidden="1"/>
    </xf>
    <xf numFmtId="0" fontId="170" fillId="49" borderId="72" xfId="698" applyNumberFormat="1" applyFont="1" applyFill="1" applyBorder="1" applyAlignment="1" applyProtection="1">
      <alignment horizontal="center"/>
      <protection hidden="1"/>
    </xf>
    <xf numFmtId="0" fontId="170" fillId="49" borderId="11" xfId="698" applyNumberFormat="1" applyFont="1" applyFill="1" applyBorder="1" applyAlignment="1" applyProtection="1">
      <alignment horizontal="center"/>
      <protection hidden="1"/>
    </xf>
    <xf numFmtId="0" fontId="170" fillId="48" borderId="11" xfId="0" applyFont="1" applyFill="1" applyBorder="1" applyAlignment="1" applyProtection="1">
      <alignment horizontal="center"/>
      <protection locked="0"/>
    </xf>
    <xf numFmtId="14" fontId="169" fillId="48" borderId="11" xfId="700" applyNumberFormat="1" applyFont="1" applyFill="1" applyBorder="1" applyAlignment="1" applyProtection="1">
      <alignment horizontal="center"/>
      <protection locked="0"/>
    </xf>
    <xf numFmtId="168" fontId="170" fillId="48" borderId="11" xfId="700" applyNumberFormat="1" applyFont="1" applyFill="1" applyBorder="1" applyAlignment="1" applyProtection="1">
      <alignment horizontal="center"/>
      <protection locked="0"/>
    </xf>
    <xf numFmtId="9" fontId="170" fillId="48" borderId="11" xfId="1022" applyFont="1" applyFill="1" applyBorder="1" applyAlignment="1" applyProtection="1">
      <alignment horizontal="center"/>
      <protection locked="0"/>
    </xf>
    <xf numFmtId="44" fontId="169" fillId="48" borderId="11" xfId="700" applyFont="1" applyFill="1" applyBorder="1" applyAlignment="1" applyProtection="1">
      <alignment horizontal="center"/>
      <protection locked="0"/>
    </xf>
    <xf numFmtId="0" fontId="172" fillId="45" borderId="11" xfId="8733" applyFont="1" applyFill="1" applyBorder="1" applyAlignment="1">
      <alignment horizontal="left" wrapText="1"/>
    </xf>
    <xf numFmtId="43" fontId="167" fillId="45" borderId="80" xfId="698" applyFont="1" applyFill="1" applyBorder="1" applyAlignment="1" applyProtection="1">
      <alignment horizontal="center"/>
      <protection hidden="1"/>
    </xf>
    <xf numFmtId="43" fontId="167" fillId="45" borderId="79" xfId="698" applyFont="1" applyFill="1" applyBorder="1" applyAlignment="1" applyProtection="1">
      <alignment horizontal="center"/>
      <protection hidden="1"/>
    </xf>
    <xf numFmtId="43" fontId="167" fillId="45" borderId="78" xfId="698" applyFont="1" applyFill="1" applyBorder="1" applyAlignment="1" applyProtection="1">
      <alignment horizontal="center"/>
      <protection hidden="1"/>
    </xf>
    <xf numFmtId="43" fontId="171" fillId="49" borderId="66" xfId="698" applyFont="1" applyFill="1" applyBorder="1" applyAlignment="1" applyProtection="1">
      <alignment horizontal="center" wrapText="1"/>
      <protection hidden="1"/>
    </xf>
    <xf numFmtId="43" fontId="171" fillId="49" borderId="0" xfId="698" applyFont="1" applyFill="1" applyBorder="1" applyAlignment="1" applyProtection="1">
      <alignment horizontal="center" wrapText="1"/>
      <protection hidden="1"/>
    </xf>
    <xf numFmtId="43" fontId="171" fillId="49" borderId="12" xfId="698" applyFont="1" applyFill="1" applyBorder="1" applyAlignment="1" applyProtection="1">
      <alignment horizontal="center" wrapText="1"/>
      <protection hidden="1"/>
    </xf>
    <xf numFmtId="43" fontId="171" fillId="49" borderId="83" xfId="698" applyFont="1" applyFill="1" applyBorder="1" applyAlignment="1" applyProtection="1">
      <alignment horizontal="center" wrapText="1"/>
      <protection hidden="1"/>
    </xf>
    <xf numFmtId="43" fontId="171" fillId="49" borderId="6" xfId="698" applyFont="1" applyFill="1" applyBorder="1" applyAlignment="1" applyProtection="1">
      <alignment horizontal="center" wrapText="1"/>
      <protection hidden="1"/>
    </xf>
    <xf numFmtId="43" fontId="171" fillId="49" borderId="10" xfId="698" applyFont="1" applyFill="1" applyBorder="1" applyAlignment="1" applyProtection="1">
      <alignment horizontal="center" wrapText="1"/>
      <protection hidden="1"/>
    </xf>
    <xf numFmtId="43" fontId="171" fillId="49" borderId="8" xfId="698" applyFont="1" applyFill="1" applyBorder="1" applyAlignment="1" applyProtection="1">
      <alignment horizontal="center" wrapText="1"/>
      <protection hidden="1"/>
    </xf>
    <xf numFmtId="43" fontId="171" fillId="49" borderId="9" xfId="698" applyFont="1" applyFill="1" applyBorder="1" applyAlignment="1" applyProtection="1">
      <alignment horizontal="center" wrapText="1"/>
      <protection hidden="1"/>
    </xf>
    <xf numFmtId="14" fontId="171" fillId="0" borderId="8" xfId="700" applyNumberFormat="1" applyFont="1" applyFill="1" applyBorder="1" applyAlignment="1" applyProtection="1">
      <alignment horizontal="center" wrapText="1"/>
      <protection hidden="1"/>
    </xf>
    <xf numFmtId="14" fontId="171" fillId="0" borderId="0" xfId="700" applyNumberFormat="1" applyFont="1" applyFill="1" applyBorder="1" applyAlignment="1" applyProtection="1">
      <alignment horizontal="center" wrapText="1"/>
      <protection hidden="1"/>
    </xf>
    <xf numFmtId="14" fontId="171" fillId="0" borderId="12" xfId="700" applyNumberFormat="1" applyFont="1" applyFill="1" applyBorder="1" applyAlignment="1" applyProtection="1">
      <alignment horizontal="center" wrapText="1"/>
      <protection hidden="1"/>
    </xf>
    <xf numFmtId="14" fontId="171" fillId="0" borderId="9" xfId="700" applyNumberFormat="1" applyFont="1" applyFill="1" applyBorder="1" applyAlignment="1" applyProtection="1">
      <alignment horizontal="center" wrapText="1"/>
      <protection hidden="1"/>
    </xf>
    <xf numFmtId="14" fontId="171" fillId="0" borderId="6" xfId="700" applyNumberFormat="1" applyFont="1" applyFill="1" applyBorder="1" applyAlignment="1" applyProtection="1">
      <alignment horizontal="center" wrapText="1"/>
      <protection hidden="1"/>
    </xf>
    <xf numFmtId="14" fontId="171" fillId="0" borderId="10" xfId="700" applyNumberFormat="1" applyFont="1" applyFill="1" applyBorder="1" applyAlignment="1" applyProtection="1">
      <alignment horizontal="center" wrapText="1"/>
      <protection hidden="1"/>
    </xf>
    <xf numFmtId="44" fontId="171" fillId="0" borderId="8" xfId="700" applyFont="1" applyBorder="1" applyAlignment="1" applyProtection="1">
      <alignment horizontal="center" wrapText="1"/>
      <protection hidden="1"/>
    </xf>
    <xf numFmtId="44" fontId="171" fillId="0" borderId="0" xfId="700" applyFont="1" applyBorder="1" applyAlignment="1" applyProtection="1">
      <alignment horizontal="center" wrapText="1"/>
      <protection hidden="1"/>
    </xf>
    <xf numFmtId="44" fontId="171" fillId="0" borderId="12" xfId="700" applyFont="1" applyBorder="1" applyAlignment="1" applyProtection="1">
      <alignment horizontal="center" wrapText="1"/>
      <protection hidden="1"/>
    </xf>
    <xf numFmtId="44" fontId="171" fillId="0" borderId="9" xfId="700" applyFont="1" applyBorder="1" applyAlignment="1" applyProtection="1">
      <alignment horizontal="center" wrapText="1"/>
      <protection hidden="1"/>
    </xf>
    <xf numFmtId="44" fontId="171" fillId="0" borderId="6" xfId="700" applyFont="1" applyBorder="1" applyAlignment="1" applyProtection="1">
      <alignment horizontal="center" wrapText="1"/>
      <protection hidden="1"/>
    </xf>
    <xf numFmtId="44" fontId="171" fillId="0" borderId="10" xfId="700" applyFont="1" applyBorder="1" applyAlignment="1" applyProtection="1">
      <alignment horizontal="center" wrapText="1"/>
      <protection hidden="1"/>
    </xf>
    <xf numFmtId="43" fontId="171" fillId="49" borderId="41" xfId="698" applyFont="1" applyFill="1" applyBorder="1" applyAlignment="1" applyProtection="1">
      <alignment horizontal="center" wrapText="1"/>
      <protection hidden="1"/>
    </xf>
    <xf numFmtId="43" fontId="171" fillId="49" borderId="82" xfId="698" applyFont="1" applyFill="1" applyBorder="1" applyAlignment="1" applyProtection="1">
      <alignment horizontal="center" wrapText="1"/>
      <protection hidden="1"/>
    </xf>
    <xf numFmtId="0" fontId="173" fillId="45" borderId="11" xfId="8733" applyFont="1" applyFill="1" applyBorder="1" applyAlignment="1">
      <alignment horizontal="left"/>
    </xf>
    <xf numFmtId="182" fontId="3" fillId="48" borderId="11" xfId="700" applyNumberFormat="1" applyFont="1" applyFill="1" applyBorder="1" applyAlignment="1" applyProtection="1">
      <alignment horizontal="center"/>
      <protection locked="0"/>
    </xf>
    <xf numFmtId="10" fontId="173" fillId="48" borderId="11" xfId="1022" applyNumberFormat="1" applyFont="1" applyFill="1" applyBorder="1" applyAlignment="1" applyProtection="1">
      <alignment horizontal="center"/>
      <protection locked="0"/>
    </xf>
    <xf numFmtId="182" fontId="3" fillId="0" borderId="13" xfId="8733" applyNumberFormat="1" applyBorder="1" applyAlignment="1">
      <alignment horizontal="center"/>
    </xf>
    <xf numFmtId="0" fontId="3" fillId="0" borderId="13" xfId="8733" applyBorder="1" applyAlignment="1">
      <alignment horizontal="center"/>
    </xf>
    <xf numFmtId="0" fontId="166" fillId="45" borderId="80" xfId="0" applyFont="1" applyFill="1" applyBorder="1" applyAlignment="1" applyProtection="1">
      <alignment horizontal="center" wrapText="1"/>
      <protection hidden="1"/>
    </xf>
    <xf numFmtId="0" fontId="166" fillId="45" borderId="79" xfId="0" applyFont="1" applyFill="1" applyBorder="1" applyAlignment="1" applyProtection="1">
      <alignment horizontal="center" wrapText="1"/>
      <protection hidden="1"/>
    </xf>
    <xf numFmtId="0" fontId="166" fillId="45" borderId="78" xfId="0" applyFont="1" applyFill="1" applyBorder="1" applyAlignment="1" applyProtection="1">
      <alignment horizontal="center" wrapText="1"/>
      <protection hidden="1"/>
    </xf>
    <xf numFmtId="0" fontId="166" fillId="45" borderId="13" xfId="0" applyFont="1" applyFill="1" applyBorder="1" applyAlignment="1" applyProtection="1">
      <alignment horizontal="left" wrapText="1"/>
      <protection hidden="1"/>
    </xf>
    <xf numFmtId="0" fontId="166" fillId="45" borderId="13" xfId="0" applyFont="1" applyFill="1" applyBorder="1" applyAlignment="1" applyProtection="1">
      <alignment horizontal="center" wrapText="1"/>
      <protection hidden="1"/>
    </xf>
    <xf numFmtId="0" fontId="175" fillId="45" borderId="67" xfId="8733" applyFont="1" applyFill="1" applyBorder="1" applyAlignment="1">
      <alignment horizontal="right"/>
    </xf>
    <xf numFmtId="0" fontId="175" fillId="45" borderId="68" xfId="8733" applyFont="1" applyFill="1" applyBorder="1" applyAlignment="1">
      <alignment horizontal="right"/>
    </xf>
    <xf numFmtId="168" fontId="170" fillId="44" borderId="68" xfId="700" applyNumberFormat="1" applyFont="1" applyFill="1" applyBorder="1" applyAlignment="1">
      <alignment horizontal="left"/>
    </xf>
    <xf numFmtId="168" fontId="170" fillId="44" borderId="71" xfId="700" applyNumberFormat="1" applyFont="1" applyFill="1" applyBorder="1" applyAlignment="1">
      <alignment horizontal="left"/>
    </xf>
    <xf numFmtId="0" fontId="172" fillId="48" borderId="66" xfId="8733" applyFont="1" applyFill="1" applyBorder="1" applyAlignment="1">
      <alignment horizontal="left" wrapText="1"/>
    </xf>
    <xf numFmtId="0" fontId="172" fillId="48" borderId="0" xfId="8733" applyFont="1" applyFill="1" applyAlignment="1">
      <alignment horizontal="left" wrapText="1"/>
    </xf>
    <xf numFmtId="0" fontId="172" fillId="48" borderId="41" xfId="8733" applyFont="1" applyFill="1" applyBorder="1" applyAlignment="1">
      <alignment horizontal="left" wrapText="1"/>
    </xf>
    <xf numFmtId="0" fontId="172" fillId="48" borderId="73" xfId="8733" applyFont="1" applyFill="1" applyBorder="1" applyAlignment="1">
      <alignment horizontal="left" wrapText="1"/>
    </xf>
    <xf numFmtId="0" fontId="172" fillId="48" borderId="42" xfId="8733" applyFont="1" applyFill="1" applyBorder="1" applyAlignment="1">
      <alignment horizontal="left" wrapText="1"/>
    </xf>
    <xf numFmtId="0" fontId="172" fillId="48" borderId="44" xfId="8733" applyFont="1" applyFill="1" applyBorder="1" applyAlignment="1">
      <alignment horizontal="left" wrapText="1"/>
    </xf>
    <xf numFmtId="0" fontId="174" fillId="45" borderId="69" xfId="8733" applyFont="1" applyFill="1" applyBorder="1" applyAlignment="1">
      <alignment horizontal="right"/>
    </xf>
    <xf numFmtId="0" fontId="174" fillId="45" borderId="70" xfId="8733" applyFont="1" applyFill="1" applyBorder="1" applyAlignment="1">
      <alignment horizontal="right"/>
    </xf>
    <xf numFmtId="0" fontId="166" fillId="44" borderId="70" xfId="700" applyNumberFormat="1" applyFont="1" applyFill="1" applyBorder="1" applyAlignment="1">
      <alignment horizontal="left"/>
    </xf>
    <xf numFmtId="168" fontId="166" fillId="44" borderId="70" xfId="700" applyNumberFormat="1" applyFont="1" applyFill="1" applyBorder="1" applyAlignment="1">
      <alignment horizontal="left"/>
    </xf>
    <xf numFmtId="168" fontId="166" fillId="44" borderId="77" xfId="700" applyNumberFormat="1" applyFont="1" applyFill="1" applyBorder="1" applyAlignment="1">
      <alignment horizontal="left"/>
    </xf>
    <xf numFmtId="0" fontId="167" fillId="47" borderId="0" xfId="8733" applyFont="1" applyFill="1" applyAlignment="1">
      <alignment horizontal="right"/>
    </xf>
    <xf numFmtId="168" fontId="171" fillId="47" borderId="0" xfId="700" applyNumberFormat="1" applyFont="1" applyFill="1" applyBorder="1" applyAlignment="1" applyProtection="1">
      <alignment horizontal="left"/>
      <protection locked="0"/>
    </xf>
    <xf numFmtId="0" fontId="173" fillId="48" borderId="87" xfId="8733" applyFont="1" applyFill="1" applyBorder="1" applyAlignment="1" applyProtection="1">
      <alignment horizontal="center"/>
      <protection locked="0"/>
    </xf>
    <xf numFmtId="0" fontId="173" fillId="48" borderId="86" xfId="8733" applyFont="1" applyFill="1" applyBorder="1" applyAlignment="1" applyProtection="1">
      <alignment horizontal="center"/>
      <protection locked="0"/>
    </xf>
    <xf numFmtId="0" fontId="175" fillId="48" borderId="70" xfId="8733" applyFont="1" applyFill="1" applyBorder="1" applyAlignment="1" applyProtection="1">
      <alignment horizontal="left"/>
      <protection locked="0"/>
    </xf>
    <xf numFmtId="0" fontId="175" fillId="48" borderId="77" xfId="8733" applyFont="1" applyFill="1" applyBorder="1" applyAlignment="1" applyProtection="1">
      <alignment horizontal="left"/>
      <protection locked="0"/>
    </xf>
    <xf numFmtId="168" fontId="173" fillId="48" borderId="86" xfId="700" applyNumberFormat="1" applyFont="1" applyFill="1" applyBorder="1" applyAlignment="1" applyProtection="1">
      <alignment horizontal="left"/>
      <protection locked="0"/>
    </xf>
    <xf numFmtId="168" fontId="173" fillId="48" borderId="85" xfId="700" applyNumberFormat="1" applyFont="1" applyFill="1" applyBorder="1" applyAlignment="1" applyProtection="1">
      <alignment horizontal="left"/>
      <protection locked="0"/>
    </xf>
    <xf numFmtId="0" fontId="173" fillId="48" borderId="87" xfId="8733" applyFont="1" applyFill="1" applyBorder="1" applyAlignment="1" applyProtection="1">
      <alignment horizontal="left"/>
      <protection locked="0"/>
    </xf>
    <xf numFmtId="0" fontId="173" fillId="48" borderId="86" xfId="8733" applyFont="1" applyFill="1" applyBorder="1" applyAlignment="1" applyProtection="1">
      <alignment horizontal="left"/>
      <protection locked="0"/>
    </xf>
    <xf numFmtId="0" fontId="173" fillId="48" borderId="85" xfId="8733" applyFont="1" applyFill="1" applyBorder="1" applyAlignment="1" applyProtection="1">
      <alignment horizontal="left"/>
      <protection locked="0"/>
    </xf>
    <xf numFmtId="0" fontId="103" fillId="48" borderId="80" xfId="8733" applyFont="1" applyFill="1" applyBorder="1" applyAlignment="1">
      <alignment horizontal="left"/>
    </xf>
    <xf numFmtId="0" fontId="103" fillId="48" borderId="79" xfId="8733" applyFont="1" applyFill="1" applyBorder="1" applyAlignment="1">
      <alignment horizontal="left"/>
    </xf>
    <xf numFmtId="44" fontId="3" fillId="48" borderId="84" xfId="700" applyFont="1" applyFill="1" applyBorder="1" applyAlignment="1" applyProtection="1">
      <alignment horizontal="center"/>
      <protection locked="0"/>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0" fontId="175" fillId="48" borderId="11"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0" fontId="173" fillId="48" borderId="11" xfId="8733" applyFont="1" applyFill="1" applyBorder="1" applyAlignment="1" applyProtection="1">
      <alignment horizontal="left"/>
      <protection locked="0"/>
    </xf>
    <xf numFmtId="0" fontId="173" fillId="48" borderId="76" xfId="8733" applyFont="1" applyFill="1" applyBorder="1" applyAlignment="1" applyProtection="1">
      <alignment horizontal="left"/>
      <protection locked="0"/>
    </xf>
    <xf numFmtId="0" fontId="3" fillId="48" borderId="1" xfId="8733" applyFill="1" applyBorder="1" applyAlignment="1">
      <alignment horizontal="center"/>
    </xf>
    <xf numFmtId="0" fontId="3" fillId="48" borderId="2" xfId="8733" applyFill="1" applyBorder="1" applyAlignment="1">
      <alignment horizontal="center"/>
    </xf>
    <xf numFmtId="0" fontId="3" fillId="48" borderId="112" xfId="8733" applyFill="1" applyBorder="1" applyAlignment="1">
      <alignment horizontal="center"/>
    </xf>
    <xf numFmtId="0" fontId="175" fillId="48" borderId="72" xfId="8733" applyFont="1" applyFill="1" applyBorder="1" applyAlignment="1" applyProtection="1">
      <alignment horizontal="center"/>
      <protection locked="0"/>
    </xf>
    <xf numFmtId="0" fontId="175" fillId="48" borderId="11" xfId="8733" applyFont="1" applyFill="1" applyBorder="1" applyAlignment="1" applyProtection="1">
      <alignment horizontal="center"/>
      <protection locked="0"/>
    </xf>
    <xf numFmtId="43" fontId="170" fillId="50" borderId="72" xfId="698" applyFont="1" applyFill="1" applyBorder="1" applyAlignment="1" applyProtection="1">
      <alignment horizontal="left" wrapText="1"/>
      <protection hidden="1"/>
    </xf>
    <xf numFmtId="43" fontId="170" fillId="50" borderId="11" xfId="698" applyFont="1" applyFill="1" applyBorder="1" applyAlignment="1" applyProtection="1">
      <alignment horizontal="left" wrapText="1"/>
      <protection hidden="1"/>
    </xf>
    <xf numFmtId="44" fontId="3" fillId="48" borderId="11" xfId="700" applyFont="1" applyFill="1" applyBorder="1" applyAlignment="1" applyProtection="1">
      <alignment horizontal="center"/>
      <protection hidden="1"/>
    </xf>
    <xf numFmtId="43" fontId="167" fillId="50" borderId="111" xfId="698" applyFont="1" applyFill="1" applyBorder="1" applyAlignment="1" applyProtection="1">
      <alignment horizontal="center"/>
      <protection hidden="1"/>
    </xf>
    <xf numFmtId="43" fontId="167" fillId="50" borderId="84" xfId="698" applyFont="1" applyFill="1" applyBorder="1" applyAlignment="1" applyProtection="1">
      <alignment horizontal="center"/>
      <protection hidden="1"/>
    </xf>
    <xf numFmtId="43" fontId="167" fillId="50" borderId="102" xfId="698" applyFont="1" applyFill="1" applyBorder="1" applyAlignment="1" applyProtection="1">
      <alignment horizontal="center"/>
      <protection hidden="1"/>
    </xf>
    <xf numFmtId="0" fontId="173" fillId="45" borderId="72" xfId="8733" applyFont="1" applyFill="1" applyBorder="1" applyAlignment="1">
      <alignment horizontal="right"/>
    </xf>
    <xf numFmtId="0" fontId="173" fillId="45" borderId="11" xfId="8733" applyFont="1" applyFill="1" applyBorder="1" applyAlignment="1">
      <alignment horizontal="right"/>
    </xf>
    <xf numFmtId="43" fontId="170" fillId="50" borderId="98" xfId="698" applyFont="1" applyFill="1" applyBorder="1" applyAlignment="1" applyProtection="1">
      <alignment horizontal="left"/>
      <protection hidden="1"/>
    </xf>
    <xf numFmtId="43" fontId="170" fillId="50" borderId="13" xfId="698" applyFont="1" applyFill="1" applyBorder="1" applyAlignment="1" applyProtection="1">
      <alignment horizontal="left"/>
      <protection hidden="1"/>
    </xf>
    <xf numFmtId="44" fontId="3" fillId="48" borderId="13" xfId="700" applyFont="1" applyFill="1" applyBorder="1" applyAlignment="1" applyProtection="1">
      <alignment horizontal="center"/>
      <protection locked="0"/>
    </xf>
    <xf numFmtId="0" fontId="173" fillId="48" borderId="9" xfId="8733" applyFont="1" applyFill="1" applyBorder="1" applyAlignment="1">
      <alignment horizontal="center"/>
    </xf>
    <xf numFmtId="0" fontId="173" fillId="48" borderId="6" xfId="8733" applyFont="1" applyFill="1" applyBorder="1" applyAlignment="1">
      <alignment horizontal="center"/>
    </xf>
    <xf numFmtId="0" fontId="173" fillId="48" borderId="82" xfId="8733" applyFont="1" applyFill="1" applyBorder="1" applyAlignment="1">
      <alignment horizontal="center"/>
    </xf>
    <xf numFmtId="0" fontId="3" fillId="48" borderId="3" xfId="8733" applyFill="1" applyBorder="1" applyAlignment="1">
      <alignment horizontal="center"/>
    </xf>
    <xf numFmtId="0" fontId="3" fillId="48" borderId="4" xfId="8733" applyFill="1" applyBorder="1" applyAlignment="1">
      <alignment horizontal="center"/>
    </xf>
    <xf numFmtId="0" fontId="3" fillId="48" borderId="81" xfId="8733" applyFill="1" applyBorder="1" applyAlignment="1">
      <alignment horizontal="center"/>
    </xf>
    <xf numFmtId="168" fontId="175" fillId="44" borderId="11" xfId="700" applyNumberFormat="1" applyFont="1" applyFill="1" applyBorder="1" applyAlignment="1">
      <alignment horizontal="left"/>
    </xf>
    <xf numFmtId="0" fontId="103" fillId="45" borderId="65" xfId="8733" applyFont="1" applyFill="1" applyBorder="1" applyAlignment="1">
      <alignment horizontal="left" wrapText="1"/>
    </xf>
    <xf numFmtId="0" fontId="103" fillId="45" borderId="29" xfId="8733" applyFont="1" applyFill="1" applyBorder="1" applyAlignment="1">
      <alignment horizontal="left" wrapText="1"/>
    </xf>
    <xf numFmtId="0" fontId="103" fillId="45" borderId="31" xfId="8733" applyFont="1" applyFill="1" applyBorder="1" applyAlignment="1">
      <alignment horizontal="left" wrapText="1"/>
    </xf>
    <xf numFmtId="0" fontId="103" fillId="45" borderId="73" xfId="8733" applyFont="1" applyFill="1" applyBorder="1" applyAlignment="1">
      <alignment horizontal="left" wrapText="1"/>
    </xf>
    <xf numFmtId="0" fontId="103" fillId="45" borderId="42" xfId="8733" applyFont="1" applyFill="1" applyBorder="1" applyAlignment="1">
      <alignment horizontal="left" wrapText="1"/>
    </xf>
    <xf numFmtId="0" fontId="103" fillId="45" borderId="44" xfId="8733" applyFont="1" applyFill="1" applyBorder="1" applyAlignment="1">
      <alignment horizontal="left" wrapText="1"/>
    </xf>
    <xf numFmtId="43" fontId="170" fillId="50" borderId="72" xfId="698" applyFont="1" applyFill="1" applyBorder="1" applyAlignment="1" applyProtection="1">
      <alignment horizontal="left"/>
      <protection hidden="1"/>
    </xf>
    <xf numFmtId="43" fontId="170" fillId="50" borderId="11" xfId="698" applyFont="1" applyFill="1" applyBorder="1" applyAlignment="1" applyProtection="1">
      <alignment horizontal="left"/>
      <protection hidden="1"/>
    </xf>
    <xf numFmtId="44" fontId="3" fillId="48" borderId="11" xfId="700" applyFont="1" applyFill="1" applyBorder="1" applyAlignment="1" applyProtection="1">
      <alignment horizontal="center"/>
      <protection locked="0"/>
    </xf>
    <xf numFmtId="0" fontId="103" fillId="45" borderId="67" xfId="8733" applyFont="1" applyFill="1" applyBorder="1" applyAlignment="1">
      <alignment horizontal="center"/>
    </xf>
    <xf numFmtId="0" fontId="103" fillId="45" borderId="68" xfId="8733" applyFont="1" applyFill="1" applyBorder="1" applyAlignment="1">
      <alignment horizontal="center"/>
    </xf>
    <xf numFmtId="0" fontId="167" fillId="45" borderId="68" xfId="8733" applyFont="1" applyFill="1" applyBorder="1" applyAlignment="1">
      <alignment horizontal="center"/>
    </xf>
    <xf numFmtId="0" fontId="167" fillId="45" borderId="71" xfId="8733" applyFont="1" applyFill="1" applyBorder="1" applyAlignment="1">
      <alignment horizontal="center"/>
    </xf>
    <xf numFmtId="0" fontId="174" fillId="51" borderId="11" xfId="8733" applyFont="1" applyFill="1" applyBorder="1" applyAlignment="1">
      <alignment horizontal="center"/>
    </xf>
    <xf numFmtId="0" fontId="174" fillId="51" borderId="76" xfId="8733" applyFont="1" applyFill="1" applyBorder="1" applyAlignment="1">
      <alignment horizontal="center"/>
    </xf>
    <xf numFmtId="0" fontId="175" fillId="45" borderId="72" xfId="8733" applyFont="1" applyFill="1" applyBorder="1" applyAlignment="1">
      <alignment horizontal="right"/>
    </xf>
    <xf numFmtId="0" fontId="175" fillId="45" borderId="11" xfId="8733" applyFont="1" applyFill="1" applyBorder="1" applyAlignment="1">
      <alignment horizontal="right"/>
    </xf>
    <xf numFmtId="168" fontId="175" fillId="48" borderId="11" xfId="700" applyNumberFormat="1" applyFont="1" applyFill="1" applyBorder="1" applyAlignment="1" applyProtection="1">
      <alignment horizontal="left"/>
      <protection locked="0"/>
    </xf>
    <xf numFmtId="168" fontId="173" fillId="44" borderId="11" xfId="700" applyNumberFormat="1" applyFont="1" applyFill="1" applyBorder="1" applyAlignment="1" applyProtection="1">
      <alignment horizontal="left"/>
      <protection locked="0"/>
    </xf>
    <xf numFmtId="0" fontId="103" fillId="45" borderId="71" xfId="8733" applyFont="1" applyFill="1" applyBorder="1" applyAlignment="1">
      <alignment horizontal="center"/>
    </xf>
    <xf numFmtId="0" fontId="167" fillId="45" borderId="67" xfId="8733" applyFont="1" applyFill="1" applyBorder="1" applyAlignment="1">
      <alignment horizontal="left"/>
    </xf>
    <xf numFmtId="0" fontId="167" fillId="45" borderId="68" xfId="8733" applyFont="1" applyFill="1" applyBorder="1" applyAlignment="1">
      <alignment horizontal="left"/>
    </xf>
    <xf numFmtId="0" fontId="167" fillId="45" borderId="71" xfId="8733" applyFont="1" applyFill="1" applyBorder="1" applyAlignment="1">
      <alignment horizontal="left"/>
    </xf>
    <xf numFmtId="0" fontId="103" fillId="45" borderId="72" xfId="8733" applyFont="1" applyFill="1" applyBorder="1" applyAlignment="1">
      <alignment horizontal="center"/>
    </xf>
    <xf numFmtId="0" fontId="103" fillId="45" borderId="11" xfId="8733" applyFont="1" applyFill="1" applyBorder="1" applyAlignment="1">
      <alignment horizontal="center"/>
    </xf>
    <xf numFmtId="0" fontId="103" fillId="45" borderId="76" xfId="8733" applyFont="1" applyFill="1" applyBorder="1" applyAlignment="1">
      <alignment horizontal="center"/>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14" fontId="173" fillId="48" borderId="11" xfId="8733" applyNumberFormat="1" applyFont="1" applyFill="1" applyBorder="1" applyAlignment="1" applyProtection="1">
      <alignment horizontal="center"/>
      <protection locked="0"/>
    </xf>
    <xf numFmtId="14" fontId="173" fillId="48" borderId="76" xfId="8733" applyNumberFormat="1" applyFont="1" applyFill="1" applyBorder="1" applyAlignment="1" applyProtection="1">
      <alignment horizontal="center"/>
      <protection locked="0"/>
    </xf>
    <xf numFmtId="0" fontId="173" fillId="48" borderId="69" xfId="8733" applyFont="1" applyFill="1" applyBorder="1" applyAlignment="1" applyProtection="1">
      <alignment horizontal="center"/>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4" fontId="173" fillId="48" borderId="77" xfId="8733" applyNumberFormat="1" applyFont="1" applyFill="1" applyBorder="1" applyAlignment="1" applyProtection="1">
      <alignment horizontal="center"/>
      <protection locked="0"/>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76" fillId="48" borderId="11" xfId="8733" applyFont="1" applyFill="1" applyBorder="1" applyAlignment="1" applyProtection="1">
      <alignment horizontal="left"/>
      <protection locked="0"/>
    </xf>
    <xf numFmtId="14" fontId="175" fillId="48" borderId="11" xfId="8733" applyNumberFormat="1" applyFont="1" applyFill="1" applyBorder="1" applyAlignment="1" applyProtection="1">
      <alignment horizontal="center"/>
      <protection locked="0"/>
    </xf>
    <xf numFmtId="168" fontId="175" fillId="48" borderId="11" xfId="8734" applyNumberFormat="1" applyFont="1" applyFill="1" applyBorder="1" applyAlignment="1" applyProtection="1">
      <alignment horizontal="center"/>
      <protection locked="0"/>
    </xf>
    <xf numFmtId="168" fontId="175" fillId="48" borderId="76" xfId="8734" applyNumberFormat="1" applyFont="1" applyFill="1" applyBorder="1" applyAlignment="1" applyProtection="1">
      <alignment horizontal="center"/>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6" fillId="48" borderId="70" xfId="8733" applyFont="1" applyFill="1" applyBorder="1" applyAlignment="1" applyProtection="1">
      <alignment horizontal="left"/>
      <protection locked="0"/>
    </xf>
    <xf numFmtId="0" fontId="175" fillId="48" borderId="70" xfId="8733" applyFont="1" applyFill="1" applyBorder="1" applyAlignment="1" applyProtection="1">
      <alignment horizontal="center"/>
      <protection locked="0"/>
    </xf>
    <xf numFmtId="14" fontId="175" fillId="48" borderId="70" xfId="8733" applyNumberFormat="1" applyFont="1" applyFill="1" applyBorder="1" applyAlignment="1" applyProtection="1">
      <alignment horizontal="center"/>
      <protection locked="0"/>
    </xf>
    <xf numFmtId="168" fontId="175" fillId="48" borderId="70" xfId="8734" applyNumberFormat="1" applyFont="1" applyFill="1" applyBorder="1" applyAlignment="1" applyProtection="1">
      <alignment horizontal="center"/>
      <protection locked="0"/>
    </xf>
    <xf numFmtId="168" fontId="175" fillId="48" borderId="77" xfId="8734" applyNumberFormat="1" applyFont="1" applyFill="1" applyBorder="1" applyAlignment="1" applyProtection="1">
      <alignment horizontal="center"/>
      <protection locked="0"/>
    </xf>
    <xf numFmtId="0" fontId="177" fillId="45" borderId="69" xfId="8733" applyFont="1" applyFill="1" applyBorder="1" applyAlignment="1">
      <alignment horizontal="left"/>
    </xf>
    <xf numFmtId="0" fontId="177" fillId="45" borderId="70" xfId="8733" applyFont="1" applyFill="1" applyBorder="1" applyAlignment="1">
      <alignment horizontal="left"/>
    </xf>
    <xf numFmtId="0" fontId="3" fillId="48" borderId="70" xfId="8733" applyFill="1" applyBorder="1" applyAlignment="1" applyProtection="1">
      <alignment horizontal="center"/>
      <protection locked="0"/>
    </xf>
    <xf numFmtId="0" fontId="3" fillId="48" borderId="77" xfId="8733" applyFill="1" applyBorder="1" applyAlignment="1" applyProtection="1">
      <alignment horizontal="center"/>
      <protection locked="0"/>
    </xf>
    <xf numFmtId="0" fontId="167" fillId="45" borderId="67" xfId="8733" applyFont="1" applyFill="1" applyBorder="1" applyAlignment="1">
      <alignment horizontal="center"/>
    </xf>
    <xf numFmtId="0" fontId="166" fillId="45" borderId="11" xfId="8733" applyFont="1" applyFill="1" applyBorder="1" applyAlignment="1">
      <alignment horizontal="center"/>
    </xf>
    <xf numFmtId="0" fontId="177" fillId="45" borderId="72" xfId="8733" applyFont="1" applyFill="1" applyBorder="1" applyAlignment="1">
      <alignment horizontal="left"/>
    </xf>
    <xf numFmtId="0" fontId="177" fillId="45" borderId="11" xfId="8733" applyFont="1" applyFill="1" applyBorder="1" applyAlignment="1">
      <alignment horizontal="left"/>
    </xf>
    <xf numFmtId="0" fontId="3" fillId="48" borderId="11" xfId="8733" applyFill="1" applyBorder="1" applyAlignment="1" applyProtection="1">
      <alignment horizontal="center"/>
      <protection locked="0"/>
    </xf>
    <xf numFmtId="0" fontId="3" fillId="48" borderId="76" xfId="8733" applyFill="1" applyBorder="1" applyAlignment="1" applyProtection="1">
      <alignment horizontal="center"/>
      <protection locked="0"/>
    </xf>
    <xf numFmtId="0" fontId="166" fillId="45" borderId="11" xfId="8733" applyFont="1" applyFill="1" applyBorder="1" applyAlignment="1">
      <alignment horizontal="center" wrapText="1"/>
    </xf>
    <xf numFmtId="0" fontId="166" fillId="45" borderId="76" xfId="8733" applyFont="1" applyFill="1" applyBorder="1" applyAlignment="1">
      <alignment horizontal="center" wrapText="1"/>
    </xf>
    <xf numFmtId="0" fontId="166" fillId="48" borderId="90" xfId="8733" applyFont="1" applyFill="1" applyBorder="1" applyAlignment="1">
      <alignment horizontal="left"/>
    </xf>
    <xf numFmtId="0" fontId="166" fillId="48" borderId="4" xfId="8733" applyFont="1" applyFill="1" applyBorder="1" applyAlignment="1">
      <alignment horizontal="left"/>
    </xf>
    <xf numFmtId="0" fontId="166" fillId="48" borderId="5" xfId="8733" applyFont="1" applyFill="1" applyBorder="1" applyAlignment="1">
      <alignment horizontal="left"/>
    </xf>
    <xf numFmtId="0" fontId="170" fillId="48" borderId="68" xfId="8733" applyFont="1" applyFill="1" applyBorder="1" applyAlignment="1" applyProtection="1">
      <alignment horizontal="left"/>
      <protection locked="0"/>
    </xf>
    <xf numFmtId="0" fontId="170" fillId="48" borderId="71" xfId="8733" applyFont="1" applyFill="1" applyBorder="1" applyAlignment="1" applyProtection="1">
      <alignment horizontal="left"/>
      <protection locked="0"/>
    </xf>
    <xf numFmtId="0" fontId="166" fillId="45" borderId="72" xfId="8733" applyFont="1" applyFill="1" applyBorder="1" applyAlignment="1">
      <alignment horizontal="left"/>
    </xf>
    <xf numFmtId="0" fontId="166" fillId="45" borderId="11" xfId="8733" applyFont="1" applyFill="1" applyBorder="1" applyAlignment="1">
      <alignment horizontal="left"/>
    </xf>
    <xf numFmtId="0" fontId="178" fillId="48" borderId="11" xfId="8733" applyFont="1" applyFill="1" applyBorder="1" applyAlignment="1" applyProtection="1">
      <alignment horizontal="left"/>
      <protection locked="0"/>
    </xf>
    <xf numFmtId="0" fontId="178" fillId="48" borderId="76" xfId="8733" applyFont="1" applyFill="1" applyBorder="1" applyAlignment="1" applyProtection="1">
      <alignment horizontal="left"/>
      <protection locked="0"/>
    </xf>
    <xf numFmtId="0" fontId="175" fillId="48" borderId="72" xfId="8733" applyFont="1" applyFill="1" applyBorder="1" applyAlignment="1" applyProtection="1">
      <alignment horizontal="left" vertical="top"/>
      <protection locked="0"/>
    </xf>
    <xf numFmtId="0" fontId="175" fillId="48" borderId="11" xfId="8733" applyFont="1" applyFill="1" applyBorder="1" applyAlignment="1" applyProtection="1">
      <alignment horizontal="left" vertical="top"/>
      <protection locked="0"/>
    </xf>
    <xf numFmtId="0" fontId="175" fillId="48" borderId="76" xfId="8733" applyFont="1" applyFill="1" applyBorder="1" applyAlignment="1" applyProtection="1">
      <alignment horizontal="left" vertical="top"/>
      <protection locked="0"/>
    </xf>
    <xf numFmtId="0" fontId="175" fillId="48" borderId="69" xfId="8733" applyFont="1" applyFill="1" applyBorder="1" applyAlignment="1" applyProtection="1">
      <alignment horizontal="left" vertical="top"/>
      <protection locked="0"/>
    </xf>
    <xf numFmtId="0" fontId="175" fillId="48" borderId="70" xfId="8733" applyFont="1" applyFill="1" applyBorder="1" applyAlignment="1" applyProtection="1">
      <alignment horizontal="left" vertical="top"/>
      <protection locked="0"/>
    </xf>
    <xf numFmtId="0" fontId="175" fillId="48" borderId="77" xfId="8733" applyFont="1" applyFill="1" applyBorder="1" applyAlignment="1" applyProtection="1">
      <alignment horizontal="left" vertical="top"/>
      <protection locked="0"/>
    </xf>
    <xf numFmtId="0" fontId="166" fillId="45" borderId="67" xfId="8733" applyFont="1" applyFill="1" applyBorder="1" applyAlignment="1">
      <alignment horizontal="left"/>
    </xf>
    <xf numFmtId="0" fontId="166" fillId="45" borderId="68" xfId="8733" applyFont="1" applyFill="1" applyBorder="1" applyAlignment="1">
      <alignment horizontal="left"/>
    </xf>
    <xf numFmtId="0" fontId="170" fillId="48" borderId="3" xfId="8733" applyFont="1" applyFill="1" applyBorder="1" applyAlignment="1" applyProtection="1">
      <alignment horizontal="center"/>
      <protection locked="0"/>
    </xf>
    <xf numFmtId="0" fontId="170" fillId="48" borderId="4" xfId="8733" applyFont="1" applyFill="1" applyBorder="1" applyAlignment="1" applyProtection="1">
      <alignment horizontal="center"/>
      <protection locked="0"/>
    </xf>
    <xf numFmtId="0" fontId="170" fillId="48" borderId="81" xfId="8733" applyFont="1" applyFill="1" applyBorder="1" applyAlignment="1" applyProtection="1">
      <alignment horizontal="center"/>
      <protection locked="0"/>
    </xf>
    <xf numFmtId="0" fontId="167" fillId="45" borderId="93" xfId="8733" applyFont="1" applyFill="1" applyBorder="1" applyAlignment="1">
      <alignment horizontal="center"/>
    </xf>
    <xf numFmtId="0" fontId="167" fillId="45" borderId="92" xfId="8733" applyFont="1" applyFill="1" applyBorder="1" applyAlignment="1">
      <alignment horizontal="center"/>
    </xf>
    <xf numFmtId="0" fontId="167" fillId="45" borderId="91" xfId="8733" applyFont="1" applyFill="1" applyBorder="1" applyAlignment="1">
      <alignment horizontal="center"/>
    </xf>
    <xf numFmtId="0" fontId="174" fillId="45" borderId="11" xfId="8733" applyFont="1" applyFill="1" applyBorder="1" applyAlignment="1">
      <alignment horizontal="center"/>
    </xf>
    <xf numFmtId="0" fontId="180" fillId="45" borderId="11" xfId="8733" applyFont="1" applyFill="1" applyBorder="1" applyAlignment="1">
      <alignment horizontal="left"/>
    </xf>
    <xf numFmtId="0" fontId="180" fillId="45" borderId="76" xfId="8733" applyFont="1" applyFill="1" applyBorder="1" applyAlignment="1">
      <alignment horizontal="left"/>
    </xf>
    <xf numFmtId="0" fontId="3" fillId="51" borderId="70" xfId="8733" applyFill="1" applyBorder="1" applyAlignment="1" applyProtection="1">
      <alignment horizontal="center"/>
      <protection locked="0"/>
    </xf>
    <xf numFmtId="0" fontId="3" fillId="51" borderId="77" xfId="8733" applyFill="1" applyBorder="1" applyAlignment="1" applyProtection="1">
      <alignment horizontal="center"/>
      <protection locked="0"/>
    </xf>
    <xf numFmtId="0" fontId="103" fillId="45" borderId="67" xfId="8733" applyFont="1" applyFill="1" applyBorder="1" applyAlignment="1" applyProtection="1">
      <alignment horizontal="left" vertical="center" wrapText="1"/>
      <protection locked="0"/>
    </xf>
    <xf numFmtId="0" fontId="103" fillId="45" borderId="68" xfId="8733" applyFont="1" applyFill="1" applyBorder="1" applyAlignment="1" applyProtection="1">
      <alignment horizontal="left" vertical="center" wrapText="1"/>
      <protection locked="0"/>
    </xf>
    <xf numFmtId="0" fontId="103" fillId="45" borderId="72" xfId="8733" applyFont="1" applyFill="1" applyBorder="1" applyAlignment="1" applyProtection="1">
      <alignment horizontal="left" vertical="center" wrapText="1"/>
      <protection locked="0"/>
    </xf>
    <xf numFmtId="0" fontId="103" fillId="45" borderId="11" xfId="8733" applyFont="1" applyFill="1" applyBorder="1" applyAlignment="1" applyProtection="1">
      <alignment horizontal="left" vertical="center" wrapText="1"/>
      <protection locked="0"/>
    </xf>
    <xf numFmtId="0" fontId="170" fillId="48" borderId="68" xfId="8733" applyFont="1" applyFill="1" applyBorder="1" applyAlignment="1" applyProtection="1">
      <alignment horizontal="left" vertical="center" wrapText="1"/>
      <protection locked="0"/>
    </xf>
    <xf numFmtId="0" fontId="170" fillId="48" borderId="71" xfId="8733" applyFont="1" applyFill="1" applyBorder="1" applyAlignment="1" applyProtection="1">
      <alignment horizontal="left" vertical="center" wrapText="1"/>
      <protection locked="0"/>
    </xf>
    <xf numFmtId="0" fontId="170" fillId="48" borderId="11" xfId="8733" applyFont="1" applyFill="1" applyBorder="1" applyAlignment="1" applyProtection="1">
      <alignment horizontal="left" vertical="center" wrapText="1"/>
      <protection locked="0"/>
    </xf>
    <xf numFmtId="0" fontId="170" fillId="48" borderId="76" xfId="8733" applyFont="1" applyFill="1" applyBorder="1" applyAlignment="1" applyProtection="1">
      <alignment horizontal="left" vertical="center" wrapText="1"/>
      <protection locked="0"/>
    </xf>
    <xf numFmtId="0" fontId="173" fillId="48" borderId="72" xfId="8733" applyFont="1" applyFill="1" applyBorder="1" applyAlignment="1" applyProtection="1">
      <alignment horizontal="left" vertical="top" wrapText="1"/>
      <protection locked="0"/>
    </xf>
    <xf numFmtId="0" fontId="173" fillId="48" borderId="11" xfId="8733" applyFont="1" applyFill="1" applyBorder="1" applyAlignment="1" applyProtection="1">
      <alignment horizontal="left" vertical="top" wrapText="1"/>
      <protection locked="0"/>
    </xf>
    <xf numFmtId="0" fontId="173" fillId="48" borderId="69" xfId="8733" applyFont="1" applyFill="1" applyBorder="1" applyAlignment="1" applyProtection="1">
      <alignment horizontal="left" vertical="top" wrapText="1"/>
      <protection locked="0"/>
    </xf>
    <xf numFmtId="0" fontId="173" fillId="48" borderId="70" xfId="8733" applyFont="1" applyFill="1" applyBorder="1" applyAlignment="1" applyProtection="1">
      <alignment horizontal="left" vertical="top" wrapText="1"/>
      <protection locked="0"/>
    </xf>
    <xf numFmtId="0" fontId="170" fillId="48" borderId="11" xfId="8733" applyFont="1" applyFill="1" applyBorder="1" applyAlignment="1" applyProtection="1">
      <alignment horizontal="center" vertical="center" wrapText="1"/>
      <protection locked="0"/>
    </xf>
    <xf numFmtId="0" fontId="170" fillId="48" borderId="76" xfId="8733" applyFont="1" applyFill="1" applyBorder="1" applyAlignment="1" applyProtection="1">
      <alignment horizontal="center" vertical="center" wrapText="1"/>
      <protection locked="0"/>
    </xf>
    <xf numFmtId="0" fontId="170" fillId="48" borderId="70" xfId="8733" applyFont="1" applyFill="1" applyBorder="1" applyAlignment="1" applyProtection="1">
      <alignment horizontal="center" vertical="center" wrapText="1"/>
      <protection locked="0"/>
    </xf>
    <xf numFmtId="0" fontId="170" fillId="48" borderId="77" xfId="8733" applyFont="1" applyFill="1" applyBorder="1" applyAlignment="1" applyProtection="1">
      <alignment horizontal="center" vertical="center" wrapText="1"/>
      <protection locked="0"/>
    </xf>
    <xf numFmtId="0" fontId="103" fillId="45" borderId="67" xfId="8733" applyFont="1" applyFill="1" applyBorder="1" applyAlignment="1">
      <alignment horizontal="left" wrapText="1"/>
    </xf>
    <xf numFmtId="0" fontId="103" fillId="45" borderId="68" xfId="8733" applyFont="1" applyFill="1" applyBorder="1" applyAlignment="1">
      <alignment horizontal="left" wrapText="1"/>
    </xf>
    <xf numFmtId="0" fontId="103" fillId="45" borderId="71" xfId="8733" applyFont="1" applyFill="1" applyBorder="1" applyAlignment="1">
      <alignment horizontal="left" wrapText="1"/>
    </xf>
    <xf numFmtId="0" fontId="103" fillId="45" borderId="72" xfId="8733" applyFont="1" applyFill="1" applyBorder="1" applyAlignment="1">
      <alignment horizontal="left" wrapText="1"/>
    </xf>
    <xf numFmtId="0" fontId="103" fillId="45" borderId="11" xfId="8733" applyFont="1" applyFill="1" applyBorder="1" applyAlignment="1">
      <alignment horizontal="left" wrapText="1"/>
    </xf>
    <xf numFmtId="0" fontId="103" fillId="45" borderId="76" xfId="8733" applyFont="1" applyFill="1" applyBorder="1" applyAlignment="1">
      <alignment horizontal="left" wrapText="1"/>
    </xf>
    <xf numFmtId="0" fontId="103" fillId="45" borderId="65" xfId="8733" applyFont="1" applyFill="1" applyBorder="1" applyAlignment="1">
      <alignment horizontal="center"/>
    </xf>
    <xf numFmtId="0" fontId="103" fillId="45" borderId="29" xfId="8733" applyFont="1" applyFill="1" applyBorder="1" applyAlignment="1">
      <alignment horizontal="center"/>
    </xf>
    <xf numFmtId="0" fontId="103" fillId="45" borderId="31" xfId="8733" applyFont="1" applyFill="1" applyBorder="1" applyAlignment="1">
      <alignment horizontal="center"/>
    </xf>
    <xf numFmtId="0" fontId="174" fillId="45" borderId="69" xfId="8733" applyFont="1" applyFill="1" applyBorder="1" applyAlignment="1">
      <alignment horizontal="center"/>
    </xf>
    <xf numFmtId="0" fontId="174" fillId="45" borderId="70" xfId="8733" applyFont="1" applyFill="1" applyBorder="1" applyAlignment="1">
      <alignment horizontal="center"/>
    </xf>
    <xf numFmtId="0" fontId="174" fillId="45" borderId="72" xfId="8733" applyFont="1" applyFill="1" applyBorder="1" applyAlignment="1">
      <alignment horizontal="center"/>
    </xf>
    <xf numFmtId="10" fontId="3" fillId="48" borderId="94" xfId="8733" applyNumberFormat="1" applyFill="1" applyBorder="1" applyAlignment="1" applyProtection="1">
      <alignment horizontal="center"/>
      <protection locked="0"/>
    </xf>
    <xf numFmtId="10" fontId="3" fillId="48" borderId="86" xfId="8733" applyNumberFormat="1" applyFill="1" applyBorder="1" applyAlignment="1" applyProtection="1">
      <alignment horizontal="center"/>
      <protection locked="0"/>
    </xf>
    <xf numFmtId="10" fontId="3" fillId="48" borderId="85" xfId="8733" applyNumberFormat="1" applyFill="1" applyBorder="1" applyAlignment="1" applyProtection="1">
      <alignment horizontal="center"/>
      <protection locked="0"/>
    </xf>
    <xf numFmtId="0" fontId="174" fillId="45" borderId="11" xfId="8733" applyFont="1" applyFill="1" applyBorder="1" applyAlignment="1">
      <alignment horizontal="center" wrapText="1"/>
    </xf>
    <xf numFmtId="0" fontId="166" fillId="45" borderId="76" xfId="8733" applyFont="1" applyFill="1" applyBorder="1" applyAlignment="1">
      <alignment horizontal="center"/>
    </xf>
    <xf numFmtId="0" fontId="170" fillId="48" borderId="68" xfId="8733" applyFont="1" applyFill="1" applyBorder="1" applyAlignment="1" applyProtection="1">
      <alignment horizontal="left" wrapText="1"/>
      <protection locked="0"/>
    </xf>
    <xf numFmtId="0" fontId="170" fillId="48" borderId="71" xfId="8733" applyFont="1" applyFill="1" applyBorder="1" applyAlignment="1" applyProtection="1">
      <alignment horizontal="left" wrapText="1"/>
      <protection locked="0"/>
    </xf>
    <xf numFmtId="0" fontId="170" fillId="48" borderId="11" xfId="8733" applyFont="1" applyFill="1" applyBorder="1" applyAlignment="1" applyProtection="1">
      <alignment horizontal="left" wrapText="1"/>
      <protection locked="0"/>
    </xf>
    <xf numFmtId="0" fontId="170" fillId="48" borderId="76" xfId="8733" applyFont="1" applyFill="1" applyBorder="1" applyAlignment="1" applyProtection="1">
      <alignment horizontal="left" wrapText="1"/>
      <protection locked="0"/>
    </xf>
    <xf numFmtId="0" fontId="3" fillId="48" borderId="9" xfId="8733" applyFill="1" applyBorder="1" applyAlignment="1" applyProtection="1">
      <alignment horizontal="center"/>
      <protection locked="0"/>
    </xf>
    <xf numFmtId="0" fontId="3" fillId="48" borderId="6" xfId="8733" applyFill="1" applyBorder="1" applyAlignment="1" applyProtection="1">
      <alignment horizontal="center"/>
      <protection locked="0"/>
    </xf>
    <xf numFmtId="0" fontId="3" fillId="48" borderId="82" xfId="8733" applyFill="1" applyBorder="1" applyAlignment="1" applyProtection="1">
      <alignment horizontal="center"/>
      <protection locked="0"/>
    </xf>
    <xf numFmtId="0" fontId="174" fillId="45" borderId="97" xfId="8733" applyFont="1" applyFill="1" applyBorder="1" applyAlignment="1">
      <alignment horizontal="left"/>
    </xf>
    <xf numFmtId="0" fontId="174" fillId="45" borderId="2" xfId="8733" applyFont="1" applyFill="1" applyBorder="1" applyAlignment="1">
      <alignment horizontal="left"/>
    </xf>
    <xf numFmtId="0" fontId="174" fillId="45" borderId="7" xfId="8733" applyFont="1" applyFill="1" applyBorder="1" applyAlignment="1">
      <alignment horizontal="left"/>
    </xf>
    <xf numFmtId="10" fontId="3" fillId="0" borderId="94" xfId="8733" applyNumberFormat="1" applyBorder="1" applyAlignment="1">
      <alignment horizontal="center"/>
    </xf>
    <xf numFmtId="10" fontId="3" fillId="0" borderId="86" xfId="8733" applyNumberFormat="1" applyBorder="1" applyAlignment="1">
      <alignment horizontal="center"/>
    </xf>
    <xf numFmtId="10" fontId="3" fillId="0" borderId="85" xfId="8733" applyNumberFormat="1" applyBorder="1" applyAlignment="1">
      <alignment horizontal="center"/>
    </xf>
    <xf numFmtId="0" fontId="174" fillId="45" borderId="73" xfId="8733" applyFont="1" applyFill="1" applyBorder="1" applyAlignment="1">
      <alignment horizontal="left"/>
    </xf>
    <xf numFmtId="0" fontId="174" fillId="45" borderId="42" xfId="8733" applyFont="1" applyFill="1" applyBorder="1" applyAlignment="1">
      <alignment horizontal="left"/>
    </xf>
    <xf numFmtId="0" fontId="174" fillId="45" borderId="96" xfId="8733" applyFont="1" applyFill="1" applyBorder="1" applyAlignment="1">
      <alignment horizontal="left"/>
    </xf>
    <xf numFmtId="0" fontId="103" fillId="45" borderId="67" xfId="8733" applyFont="1" applyFill="1" applyBorder="1" applyAlignment="1">
      <alignment horizontal="center" wrapText="1"/>
    </xf>
    <xf numFmtId="0" fontId="103" fillId="45" borderId="68" xfId="8733" applyFont="1" applyFill="1" applyBorder="1" applyAlignment="1">
      <alignment horizontal="center" wrapText="1"/>
    </xf>
    <xf numFmtId="0" fontId="103" fillId="45" borderId="71" xfId="8733" applyFont="1" applyFill="1" applyBorder="1" applyAlignment="1">
      <alignment horizontal="center" wrapText="1"/>
    </xf>
    <xf numFmtId="0" fontId="175" fillId="48" borderId="72" xfId="8733" applyFont="1" applyFill="1" applyBorder="1" applyAlignment="1" applyProtection="1">
      <alignment horizontal="right"/>
      <protection locked="0"/>
    </xf>
    <xf numFmtId="0" fontId="175" fillId="48" borderId="11" xfId="8733" applyFont="1" applyFill="1" applyBorder="1" applyAlignment="1" applyProtection="1">
      <alignment horizontal="right"/>
      <protection locked="0"/>
    </xf>
    <xf numFmtId="168" fontId="175" fillId="48" borderId="76" xfId="700" applyNumberFormat="1" applyFont="1" applyFill="1" applyBorder="1" applyAlignment="1" applyProtection="1">
      <alignment horizontal="left"/>
      <protection locked="0"/>
    </xf>
    <xf numFmtId="0" fontId="167" fillId="45" borderId="98" xfId="8733" applyFont="1" applyFill="1" applyBorder="1" applyAlignment="1">
      <alignment horizontal="center"/>
    </xf>
    <xf numFmtId="0" fontId="167" fillId="45" borderId="13" xfId="8733"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67" fillId="45" borderId="89" xfId="8733" applyFont="1" applyFill="1" applyBorder="1" applyAlignment="1">
      <alignment horizontal="right"/>
    </xf>
    <xf numFmtId="0" fontId="167" fillId="45" borderId="43" xfId="8733" applyFont="1" applyFill="1" applyBorder="1" applyAlignment="1">
      <alignment horizontal="right"/>
    </xf>
    <xf numFmtId="168" fontId="167" fillId="45" borderId="43" xfId="8733" applyNumberFormat="1" applyFont="1" applyFill="1" applyBorder="1" applyAlignment="1">
      <alignment horizontal="left"/>
    </xf>
    <xf numFmtId="168" fontId="167" fillId="45" borderId="88" xfId="8733" applyNumberFormat="1" applyFont="1" applyFill="1" applyBorder="1" applyAlignment="1">
      <alignment horizontal="left"/>
    </xf>
    <xf numFmtId="0" fontId="173" fillId="48" borderId="68" xfId="8733" applyFont="1" applyFill="1" applyBorder="1" applyAlignment="1" applyProtection="1">
      <alignment horizontal="left"/>
      <protection locked="0"/>
    </xf>
    <xf numFmtId="0" fontId="173" fillId="48" borderId="71" xfId="8733" applyFont="1" applyFill="1" applyBorder="1" applyAlignment="1" applyProtection="1">
      <alignment horizontal="left"/>
      <protection locked="0"/>
    </xf>
    <xf numFmtId="0" fontId="167" fillId="45" borderId="69" xfId="8733" applyFont="1" applyFill="1" applyBorder="1" applyAlignment="1">
      <alignment horizontal="center"/>
    </xf>
    <xf numFmtId="0" fontId="167" fillId="45" borderId="70" xfId="8733" applyFont="1" applyFill="1" applyBorder="1" applyAlignment="1">
      <alignment horizontal="center"/>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0" fontId="170" fillId="48" borderId="74" xfId="8733" applyFont="1" applyFill="1" applyBorder="1" applyAlignment="1" applyProtection="1">
      <alignment horizontal="left"/>
      <protection locked="0"/>
    </xf>
    <xf numFmtId="0" fontId="167" fillId="45" borderId="72" xfId="8733" applyFont="1" applyFill="1" applyBorder="1" applyAlignment="1">
      <alignment horizontal="center"/>
    </xf>
    <xf numFmtId="0" fontId="167" fillId="45" borderId="11" xfId="8733" applyFont="1" applyFill="1" applyBorder="1" applyAlignment="1">
      <alignment horizontal="center"/>
    </xf>
    <xf numFmtId="0" fontId="167" fillId="45" borderId="3" xfId="8733" applyFont="1" applyFill="1" applyBorder="1" applyAlignment="1">
      <alignment horizontal="center"/>
    </xf>
    <xf numFmtId="0" fontId="167" fillId="45" borderId="4" xfId="8733" applyFont="1" applyFill="1" applyBorder="1" applyAlignment="1">
      <alignment horizontal="center"/>
    </xf>
    <xf numFmtId="0" fontId="167" fillId="45" borderId="81" xfId="8733" applyFont="1" applyFill="1" applyBorder="1" applyAlignment="1">
      <alignment horizontal="center"/>
    </xf>
    <xf numFmtId="0" fontId="103" fillId="45" borderId="69" xfId="8733" applyFont="1" applyFill="1" applyBorder="1" applyAlignment="1">
      <alignment horizontal="center"/>
    </xf>
    <xf numFmtId="0" fontId="103" fillId="45" borderId="70" xfId="8733" applyFont="1" applyFill="1" applyBorder="1" applyAlignment="1">
      <alignment horizontal="center"/>
    </xf>
    <xf numFmtId="0" fontId="173" fillId="44" borderId="72" xfId="8733" applyFont="1" applyFill="1" applyBorder="1" applyAlignment="1" applyProtection="1">
      <alignment horizontal="right"/>
      <protection locked="0"/>
    </xf>
    <xf numFmtId="0" fontId="173" fillId="44" borderId="11" xfId="8733" applyFont="1" applyFill="1" applyBorder="1" applyAlignment="1" applyProtection="1">
      <alignment horizontal="right"/>
      <protection locked="0"/>
    </xf>
    <xf numFmtId="0" fontId="173" fillId="44" borderId="76" xfId="8733" applyFont="1" applyFill="1" applyBorder="1" applyAlignment="1" applyProtection="1">
      <alignment horizontal="right"/>
      <protection locked="0"/>
    </xf>
    <xf numFmtId="0" fontId="173" fillId="48" borderId="5" xfId="8733" applyFont="1" applyFill="1" applyBorder="1" applyAlignment="1" applyProtection="1">
      <alignment horizontal="left"/>
      <protection locked="0"/>
    </xf>
    <xf numFmtId="0" fontId="173" fillId="44" borderId="69" xfId="8733" applyFont="1" applyFill="1" applyBorder="1" applyAlignment="1" applyProtection="1">
      <alignment horizontal="right"/>
      <protection locked="0"/>
    </xf>
    <xf numFmtId="0" fontId="173" fillId="44" borderId="70" xfId="8733" applyFont="1" applyFill="1" applyBorder="1" applyAlignment="1" applyProtection="1">
      <alignment horizontal="right"/>
      <protection locked="0"/>
    </xf>
    <xf numFmtId="0" fontId="173" fillId="44" borderId="77" xfId="8733" applyFont="1" applyFill="1" applyBorder="1" applyAlignment="1" applyProtection="1">
      <alignment horizontal="right"/>
      <protection locked="0"/>
    </xf>
    <xf numFmtId="0" fontId="173" fillId="48" borderId="95" xfId="8733" applyFont="1" applyFill="1" applyBorder="1" applyAlignment="1" applyProtection="1">
      <alignment horizontal="left"/>
      <protection locked="0"/>
    </xf>
    <xf numFmtId="0" fontId="167" fillId="45" borderId="65" xfId="8733" applyFont="1" applyFill="1" applyBorder="1" applyAlignment="1">
      <alignment horizontal="center"/>
    </xf>
    <xf numFmtId="0" fontId="167" fillId="45" borderId="29" xfId="8733" applyFont="1" applyFill="1" applyBorder="1" applyAlignment="1">
      <alignment horizontal="center"/>
    </xf>
    <xf numFmtId="0" fontId="167" fillId="45" borderId="31"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 fontId="173" fillId="48" borderId="11" xfId="8733" applyNumberFormat="1" applyFont="1" applyFill="1" applyBorder="1" applyAlignment="1" applyProtection="1">
      <alignment horizontal="center"/>
      <protection locked="0"/>
    </xf>
    <xf numFmtId="0" fontId="173" fillId="48" borderId="11" xfId="700" applyNumberFormat="1" applyFont="1" applyFill="1" applyBorder="1" applyAlignment="1" applyProtection="1">
      <alignment horizontal="left"/>
      <protection locked="0"/>
    </xf>
    <xf numFmtId="0" fontId="173" fillId="48" borderId="76" xfId="700" applyNumberFormat="1" applyFont="1" applyFill="1" applyBorder="1" applyAlignment="1" applyProtection="1">
      <alignment horizontal="left"/>
      <protection locked="0"/>
    </xf>
    <xf numFmtId="168" fontId="174" fillId="45" borderId="70" xfId="8734" applyNumberFormat="1" applyFont="1" applyFill="1" applyBorder="1" applyAlignment="1">
      <alignment horizontal="center"/>
    </xf>
    <xf numFmtId="1" fontId="174" fillId="45" borderId="70" xfId="8734" applyNumberFormat="1" applyFont="1" applyFill="1" applyBorder="1" applyAlignment="1">
      <alignment horizontal="center"/>
    </xf>
    <xf numFmtId="0" fontId="174" fillId="45" borderId="70" xfId="8734" applyNumberFormat="1" applyFont="1" applyFill="1" applyBorder="1" applyAlignment="1">
      <alignment horizontal="center"/>
    </xf>
    <xf numFmtId="0" fontId="174" fillId="45" borderId="77" xfId="8734" applyNumberFormat="1" applyFont="1" applyFill="1" applyBorder="1" applyAlignment="1">
      <alignment horizontal="center"/>
    </xf>
    <xf numFmtId="0" fontId="166" fillId="45" borderId="11" xfId="8733" applyFont="1" applyFill="1" applyBorder="1" applyAlignment="1">
      <alignment horizontal="center" vertical="center" wrapText="1"/>
    </xf>
    <xf numFmtId="0" fontId="166" fillId="45" borderId="76" xfId="8733" applyFont="1" applyFill="1" applyBorder="1" applyAlignment="1">
      <alignment horizontal="center" vertical="center" wrapText="1"/>
    </xf>
    <xf numFmtId="1" fontId="178" fillId="48" borderId="70" xfId="8733" applyNumberFormat="1" applyFont="1" applyFill="1" applyBorder="1" applyAlignment="1" applyProtection="1">
      <alignment horizontal="center"/>
      <protection locked="0"/>
    </xf>
    <xf numFmtId="1" fontId="178" fillId="48" borderId="94" xfId="8733" applyNumberFormat="1" applyFont="1" applyFill="1" applyBorder="1" applyAlignment="1" applyProtection="1">
      <alignment horizontal="center"/>
      <protection locked="0"/>
    </xf>
    <xf numFmtId="1" fontId="178" fillId="48" borderId="86" xfId="8733" applyNumberFormat="1" applyFont="1" applyFill="1" applyBorder="1" applyAlignment="1" applyProtection="1">
      <alignment horizontal="center"/>
      <protection locked="0"/>
    </xf>
    <xf numFmtId="1" fontId="178" fillId="48" borderId="95" xfId="8733" applyNumberFormat="1" applyFont="1" applyFill="1" applyBorder="1" applyAlignment="1" applyProtection="1">
      <alignment horizontal="center"/>
      <protection locked="0"/>
    </xf>
    <xf numFmtId="1" fontId="178" fillId="48" borderId="3" xfId="8733" applyNumberFormat="1" applyFont="1" applyFill="1" applyBorder="1" applyAlignment="1" applyProtection="1">
      <alignment horizontal="center"/>
      <protection locked="0"/>
    </xf>
    <xf numFmtId="1" fontId="178" fillId="48" borderId="4" xfId="8733" applyNumberFormat="1" applyFont="1" applyFill="1" applyBorder="1" applyAlignment="1" applyProtection="1">
      <alignment horizontal="center"/>
      <protection locked="0"/>
    </xf>
    <xf numFmtId="1" fontId="178" fillId="48" borderId="5" xfId="8733" applyNumberFormat="1" applyFont="1" applyFill="1" applyBorder="1" applyAlignment="1" applyProtection="1">
      <alignment horizontal="center"/>
      <protection locked="0"/>
    </xf>
    <xf numFmtId="1" fontId="166" fillId="44" borderId="3" xfId="8733" applyNumberFormat="1" applyFont="1" applyFill="1" applyBorder="1" applyAlignment="1">
      <alignment horizontal="center"/>
    </xf>
    <xf numFmtId="1" fontId="166" fillId="44" borderId="4" xfId="8733" applyNumberFormat="1" applyFont="1" applyFill="1" applyBorder="1" applyAlignment="1">
      <alignment horizontal="center"/>
    </xf>
    <xf numFmtId="1" fontId="166" fillId="44" borderId="5" xfId="8733" applyNumberFormat="1" applyFont="1" applyFill="1" applyBorder="1" applyAlignment="1">
      <alignment horizontal="center"/>
    </xf>
    <xf numFmtId="9" fontId="166" fillId="44" borderId="3" xfId="8735" applyFont="1" applyFill="1" applyBorder="1" applyAlignment="1">
      <alignment horizontal="center"/>
    </xf>
    <xf numFmtId="9" fontId="166" fillId="44" borderId="4" xfId="8735" applyFont="1" applyFill="1" applyBorder="1" applyAlignment="1">
      <alignment horizontal="center"/>
    </xf>
    <xf numFmtId="9" fontId="166" fillId="44" borderId="81" xfId="8735" applyFont="1" applyFill="1" applyBorder="1" applyAlignment="1">
      <alignment horizontal="center"/>
    </xf>
    <xf numFmtId="0" fontId="173" fillId="48" borderId="69" xfId="8733" applyFont="1" applyFill="1" applyBorder="1" applyAlignment="1" applyProtection="1">
      <alignment horizontal="right"/>
      <protection locked="0"/>
    </xf>
    <xf numFmtId="0" fontId="173" fillId="48" borderId="70" xfId="8733" applyFont="1" applyFill="1" applyBorder="1" applyAlignment="1" applyProtection="1">
      <alignment horizontal="right"/>
      <protection locked="0"/>
    </xf>
    <xf numFmtId="0" fontId="178" fillId="48" borderId="70" xfId="8733" applyFont="1" applyFill="1" applyBorder="1" applyAlignment="1" applyProtection="1">
      <alignment horizontal="center"/>
      <protection locked="0"/>
    </xf>
    <xf numFmtId="9" fontId="166" fillId="44" borderId="94" xfId="8735" applyFont="1" applyFill="1" applyBorder="1" applyAlignment="1">
      <alignment horizontal="center"/>
    </xf>
    <xf numFmtId="9" fontId="166" fillId="44" borderId="86" xfId="8735" applyFont="1" applyFill="1" applyBorder="1" applyAlignment="1">
      <alignment horizontal="center"/>
    </xf>
    <xf numFmtId="9" fontId="166" fillId="44" borderId="85" xfId="8735" applyFont="1" applyFill="1" applyBorder="1" applyAlignment="1">
      <alignment horizontal="center"/>
    </xf>
    <xf numFmtId="0" fontId="178" fillId="48" borderId="11" xfId="8733" applyFont="1" applyFill="1" applyBorder="1" applyAlignment="1" applyProtection="1">
      <alignment horizontal="center"/>
      <protection locked="0"/>
    </xf>
    <xf numFmtId="1" fontId="178" fillId="48" borderId="11" xfId="8733" applyNumberFormat="1" applyFont="1" applyFill="1" applyBorder="1" applyAlignment="1" applyProtection="1">
      <alignment horizontal="center"/>
      <protection locked="0"/>
    </xf>
    <xf numFmtId="0" fontId="174" fillId="44" borderId="101" xfId="8733" applyFont="1" applyFill="1" applyBorder="1" applyAlignment="1">
      <alignment horizontal="center"/>
    </xf>
    <xf numFmtId="0" fontId="174" fillId="44" borderId="42" xfId="8733" applyFont="1" applyFill="1" applyBorder="1" applyAlignment="1">
      <alignment horizontal="center"/>
    </xf>
    <xf numFmtId="0" fontId="174" fillId="44" borderId="96" xfId="8733" applyFont="1" applyFill="1" applyBorder="1" applyAlignment="1">
      <alignment horizontal="center"/>
    </xf>
    <xf numFmtId="9" fontId="174" fillId="44" borderId="101" xfId="1022" applyFont="1" applyFill="1" applyBorder="1" applyAlignment="1">
      <alignment horizontal="center"/>
    </xf>
    <xf numFmtId="9" fontId="174" fillId="44" borderId="42" xfId="1022" applyFont="1" applyFill="1" applyBorder="1" applyAlignment="1">
      <alignment horizontal="center"/>
    </xf>
    <xf numFmtId="9" fontId="174" fillId="44" borderId="44" xfId="1022" applyFont="1" applyFill="1" applyBorder="1" applyAlignment="1">
      <alignment horizontal="center"/>
    </xf>
    <xf numFmtId="0" fontId="167" fillId="45" borderId="80" xfId="8733" applyFont="1" applyFill="1" applyBorder="1" applyAlignment="1">
      <alignment horizontal="center"/>
    </xf>
    <xf numFmtId="0" fontId="167" fillId="45" borderId="79" xfId="8733" applyFont="1" applyFill="1" applyBorder="1" applyAlignment="1">
      <alignment horizontal="center"/>
    </xf>
    <xf numFmtId="0" fontId="167" fillId="45" borderId="78" xfId="8733" applyFont="1" applyFill="1" applyBorder="1" applyAlignment="1">
      <alignment horizontal="center"/>
    </xf>
    <xf numFmtId="0" fontId="166" fillId="45" borderId="98" xfId="8733" applyFont="1" applyFill="1" applyBorder="1" applyAlignment="1">
      <alignment horizontal="center" vertical="center" wrapText="1"/>
    </xf>
    <xf numFmtId="0" fontId="166" fillId="45" borderId="13" xfId="8733" applyFont="1" applyFill="1" applyBorder="1" applyAlignment="1">
      <alignment horizontal="center" vertical="center"/>
    </xf>
    <xf numFmtId="0" fontId="166" fillId="45" borderId="72" xfId="8733" applyFont="1" applyFill="1" applyBorder="1" applyAlignment="1">
      <alignment horizontal="center" vertical="center"/>
    </xf>
    <xf numFmtId="0" fontId="166" fillId="45" borderId="11" xfId="8733" applyFont="1" applyFill="1" applyBorder="1" applyAlignment="1">
      <alignment horizontal="center" vertical="center"/>
    </xf>
    <xf numFmtId="0" fontId="174" fillId="45" borderId="13" xfId="8733" applyFont="1" applyFill="1" applyBorder="1" applyAlignment="1">
      <alignment horizontal="center" vertical="center" wrapText="1"/>
    </xf>
    <xf numFmtId="0" fontId="174" fillId="45" borderId="13" xfId="8733" applyFont="1" applyFill="1" applyBorder="1" applyAlignment="1">
      <alignment horizontal="center" vertical="center"/>
    </xf>
    <xf numFmtId="0" fontId="174" fillId="45" borderId="11" xfId="8733" applyFont="1" applyFill="1" applyBorder="1" applyAlignment="1">
      <alignment horizontal="center" vertical="center"/>
    </xf>
    <xf numFmtId="0" fontId="174" fillId="45" borderId="9" xfId="8733" applyFont="1" applyFill="1" applyBorder="1" applyAlignment="1">
      <alignment horizontal="center" vertical="center"/>
    </xf>
    <xf numFmtId="0" fontId="174" fillId="45" borderId="3" xfId="8733" applyFont="1" applyFill="1" applyBorder="1" applyAlignment="1">
      <alignment horizontal="center" vertical="center"/>
    </xf>
    <xf numFmtId="0" fontId="166" fillId="45" borderId="80" xfId="8733" applyFont="1" applyFill="1" applyBorder="1" applyAlignment="1">
      <alignment horizontal="center"/>
    </xf>
    <xf numFmtId="0" fontId="166" fillId="45" borderId="79" xfId="8733" applyFont="1" applyFill="1" applyBorder="1" applyAlignment="1">
      <alignment horizontal="center"/>
    </xf>
    <xf numFmtId="0" fontId="166" fillId="45" borderId="78" xfId="8733" applyFont="1" applyFill="1" applyBorder="1" applyAlignment="1">
      <alignment horizontal="center"/>
    </xf>
    <xf numFmtId="0" fontId="166" fillId="45" borderId="65" xfId="8733" applyFont="1" applyFill="1" applyBorder="1" applyAlignment="1">
      <alignment horizontal="center" vertical="center" wrapText="1"/>
    </xf>
    <xf numFmtId="0" fontId="166" fillId="45" borderId="29" xfId="8733" applyFont="1" applyFill="1" applyBorder="1" applyAlignment="1">
      <alignment horizontal="center" vertical="center" wrapText="1"/>
    </xf>
    <xf numFmtId="0" fontId="166" fillId="45" borderId="31" xfId="8733" applyFont="1" applyFill="1" applyBorder="1" applyAlignment="1">
      <alignment horizontal="center" vertical="center" wrapText="1"/>
    </xf>
    <xf numFmtId="0" fontId="166" fillId="45" borderId="73" xfId="8733" applyFont="1" applyFill="1" applyBorder="1" applyAlignment="1">
      <alignment horizontal="center" vertical="center" wrapText="1"/>
    </xf>
    <xf numFmtId="0" fontId="166" fillId="45" borderId="42" xfId="8733" applyFont="1" applyFill="1" applyBorder="1" applyAlignment="1">
      <alignment horizontal="center" vertical="center" wrapText="1"/>
    </xf>
    <xf numFmtId="0" fontId="166" fillId="45" borderId="44" xfId="8733" applyFont="1" applyFill="1" applyBorder="1" applyAlignment="1">
      <alignment horizontal="center" vertical="center" wrapText="1"/>
    </xf>
    <xf numFmtId="9" fontId="174" fillId="48" borderId="13" xfId="8733" applyNumberFormat="1" applyFont="1" applyFill="1" applyBorder="1" applyAlignment="1" applyProtection="1">
      <alignment horizontal="center"/>
      <protection locked="0"/>
    </xf>
    <xf numFmtId="0" fontId="174" fillId="44" borderId="73" xfId="8733" applyFont="1" applyFill="1" applyBorder="1" applyAlignment="1">
      <alignment horizontal="center"/>
    </xf>
    <xf numFmtId="0" fontId="166" fillId="44" borderId="9" xfId="8733" applyFont="1" applyFill="1" applyBorder="1" applyAlignment="1">
      <alignment horizontal="center"/>
    </xf>
    <xf numFmtId="0" fontId="166" fillId="44" borderId="6" xfId="8733" applyFont="1" applyFill="1" applyBorder="1" applyAlignment="1">
      <alignment horizontal="center"/>
    </xf>
    <xf numFmtId="0" fontId="166" fillId="44" borderId="82" xfId="8733" applyFont="1" applyFill="1" applyBorder="1" applyAlignment="1">
      <alignment horizontal="center"/>
    </xf>
    <xf numFmtId="9" fontId="174" fillId="48" borderId="9" xfId="8733" applyNumberFormat="1" applyFont="1" applyFill="1" applyBorder="1" applyAlignment="1" applyProtection="1">
      <alignment horizontal="center"/>
      <protection locked="0"/>
    </xf>
    <xf numFmtId="9" fontId="174" fillId="48" borderId="6" xfId="8733" applyNumberFormat="1" applyFont="1" applyFill="1" applyBorder="1" applyAlignment="1" applyProtection="1">
      <alignment horizontal="center"/>
      <protection locked="0"/>
    </xf>
    <xf numFmtId="9" fontId="174" fillId="48" borderId="10" xfId="8733" applyNumberFormat="1" applyFont="1" applyFill="1" applyBorder="1" applyAlignment="1" applyProtection="1">
      <alignment horizontal="center"/>
      <protection locked="0"/>
    </xf>
    <xf numFmtId="9" fontId="166" fillId="48" borderId="9" xfId="8733" applyNumberFormat="1" applyFont="1" applyFill="1" applyBorder="1" applyAlignment="1" applyProtection="1">
      <alignment horizontal="center"/>
      <protection locked="0"/>
    </xf>
    <xf numFmtId="9" fontId="166" fillId="48" borderId="6" xfId="8733" applyNumberFormat="1" applyFont="1" applyFill="1" applyBorder="1" applyAlignment="1" applyProtection="1">
      <alignment horizontal="center"/>
      <protection locked="0"/>
    </xf>
    <xf numFmtId="9" fontId="166" fillId="48" borderId="10" xfId="8733" applyNumberFormat="1" applyFont="1" applyFill="1" applyBorder="1" applyAlignment="1" applyProtection="1">
      <alignment horizontal="center"/>
      <protection locked="0"/>
    </xf>
    <xf numFmtId="0" fontId="166" fillId="44" borderId="10" xfId="8733" applyFont="1" applyFill="1" applyBorder="1" applyAlignment="1">
      <alignment horizontal="center"/>
    </xf>
    <xf numFmtId="0" fontId="173" fillId="48" borderId="3" xfId="8733" applyFont="1" applyFill="1" applyBorder="1" applyAlignment="1" applyProtection="1">
      <alignment horizontal="center"/>
      <protection locked="0"/>
    </xf>
    <xf numFmtId="0" fontId="173" fillId="48" borderId="4" xfId="8733" applyFont="1" applyFill="1" applyBorder="1" applyAlignment="1" applyProtection="1">
      <alignment horizontal="center"/>
      <protection locked="0"/>
    </xf>
    <xf numFmtId="0" fontId="173" fillId="48" borderId="5" xfId="8733" applyFont="1" applyFill="1" applyBorder="1" applyAlignment="1" applyProtection="1">
      <alignment horizontal="center"/>
      <protection locked="0"/>
    </xf>
    <xf numFmtId="9" fontId="174" fillId="44" borderId="3" xfId="8733" applyNumberFormat="1" applyFont="1" applyFill="1" applyBorder="1" applyAlignment="1">
      <alignment horizontal="center"/>
    </xf>
    <xf numFmtId="9" fontId="174" fillId="44" borderId="4" xfId="8733" applyNumberFormat="1" applyFont="1" applyFill="1" applyBorder="1" applyAlignment="1">
      <alignment horizontal="center"/>
    </xf>
    <xf numFmtId="9" fontId="174" fillId="44" borderId="81" xfId="8733" applyNumberFormat="1" applyFont="1" applyFill="1" applyBorder="1" applyAlignment="1">
      <alignment horizontal="center"/>
    </xf>
    <xf numFmtId="0" fontId="174" fillId="44" borderId="87" xfId="8733" applyFont="1" applyFill="1" applyBorder="1" applyAlignment="1">
      <alignment horizontal="center"/>
    </xf>
    <xf numFmtId="0" fontId="174" fillId="44" borderId="86" xfId="8733" applyFont="1" applyFill="1" applyBorder="1" applyAlignment="1">
      <alignment horizontal="center"/>
    </xf>
    <xf numFmtId="0" fontId="174" fillId="44" borderId="95" xfId="8733" applyFont="1" applyFill="1" applyBorder="1" applyAlignment="1">
      <alignment horizontal="center"/>
    </xf>
    <xf numFmtId="0" fontId="173" fillId="44" borderId="94" xfId="8733" applyFont="1" applyFill="1" applyBorder="1" applyAlignment="1">
      <alignment horizontal="center"/>
    </xf>
    <xf numFmtId="0" fontId="173" fillId="44" borderId="86" xfId="8733" applyFont="1" applyFill="1" applyBorder="1" applyAlignment="1">
      <alignment horizontal="center"/>
    </xf>
    <xf numFmtId="0" fontId="173" fillId="44" borderId="95" xfId="8733" applyFont="1" applyFill="1" applyBorder="1" applyAlignment="1">
      <alignment horizontal="center"/>
    </xf>
    <xf numFmtId="9" fontId="174" fillId="44" borderId="94" xfId="8733" applyNumberFormat="1" applyFont="1" applyFill="1" applyBorder="1" applyAlignment="1">
      <alignment horizontal="center"/>
    </xf>
    <xf numFmtId="9" fontId="174" fillId="44" borderId="86" xfId="8733" applyNumberFormat="1" applyFont="1" applyFill="1" applyBorder="1" applyAlignment="1">
      <alignment horizontal="center"/>
    </xf>
    <xf numFmtId="9" fontId="174" fillId="44" borderId="85" xfId="8733" applyNumberFormat="1" applyFont="1" applyFill="1" applyBorder="1" applyAlignment="1">
      <alignment horizontal="center"/>
    </xf>
    <xf numFmtId="9" fontId="173" fillId="48" borderId="90" xfId="8733" applyNumberFormat="1" applyFont="1" applyFill="1" applyBorder="1" applyAlignment="1" applyProtection="1">
      <alignment horizontal="center"/>
      <protection locked="0"/>
    </xf>
    <xf numFmtId="9" fontId="173" fillId="48" borderId="4" xfId="8733" applyNumberFormat="1" applyFont="1" applyFill="1" applyBorder="1" applyAlignment="1" applyProtection="1">
      <alignment horizontal="center"/>
      <protection locked="0"/>
    </xf>
    <xf numFmtId="9" fontId="173" fillId="48" borderId="5" xfId="8733" applyNumberFormat="1" applyFont="1" applyFill="1" applyBorder="1" applyAlignment="1" applyProtection="1">
      <alignment horizontal="center"/>
      <protection locked="0"/>
    </xf>
    <xf numFmtId="0" fontId="173" fillId="44" borderId="3" xfId="8733" applyFont="1" applyFill="1" applyBorder="1" applyAlignment="1">
      <alignment horizontal="center"/>
    </xf>
    <xf numFmtId="0" fontId="173" fillId="44" borderId="4" xfId="8733" applyFont="1" applyFill="1" applyBorder="1" applyAlignment="1">
      <alignment horizontal="center"/>
    </xf>
    <xf numFmtId="0" fontId="173" fillId="44" borderId="5" xfId="8733" applyFont="1" applyFill="1" applyBorder="1" applyAlignment="1">
      <alignment horizontal="center"/>
    </xf>
    <xf numFmtId="0" fontId="103" fillId="45" borderId="80" xfId="8733" applyFont="1" applyFill="1" applyBorder="1" applyAlignment="1">
      <alignment horizontal="right"/>
    </xf>
    <xf numFmtId="0" fontId="103" fillId="45" borderId="79" xfId="8733" applyFont="1" applyFill="1" applyBorder="1" applyAlignment="1">
      <alignment horizontal="right"/>
    </xf>
    <xf numFmtId="0" fontId="103" fillId="45" borderId="103" xfId="8733" applyFont="1" applyFill="1" applyBorder="1" applyAlignment="1">
      <alignment horizontal="right"/>
    </xf>
    <xf numFmtId="0" fontId="3" fillId="44" borderId="84" xfId="8733" applyFill="1" applyBorder="1" applyAlignment="1">
      <alignment horizontal="center"/>
    </xf>
    <xf numFmtId="0" fontId="3" fillId="44" borderId="102" xfId="8733" applyFill="1" applyBorder="1" applyAlignment="1">
      <alignment horizontal="center"/>
    </xf>
    <xf numFmtId="0" fontId="174" fillId="45" borderId="11" xfId="8733" applyFont="1" applyFill="1" applyBorder="1" applyAlignment="1">
      <alignment horizontal="right"/>
    </xf>
    <xf numFmtId="14" fontId="170" fillId="48" borderId="11" xfId="8733" applyNumberFormat="1" applyFont="1" applyFill="1" applyBorder="1" applyAlignment="1" applyProtection="1">
      <alignment horizontal="center" vertical="center"/>
      <protection locked="0"/>
    </xf>
    <xf numFmtId="0" fontId="170" fillId="48" borderId="11" xfId="8733" applyFont="1" applyFill="1" applyBorder="1" applyAlignment="1" applyProtection="1">
      <alignment horizontal="center" vertical="center"/>
      <protection locked="0"/>
    </xf>
    <xf numFmtId="0" fontId="174" fillId="45" borderId="97" xfId="8733" applyFont="1" applyFill="1" applyBorder="1" applyAlignment="1">
      <alignment horizontal="center"/>
    </xf>
    <xf numFmtId="0" fontId="174" fillId="45" borderId="2" xfId="8733" applyFont="1" applyFill="1" applyBorder="1" applyAlignment="1">
      <alignment horizontal="center"/>
    </xf>
    <xf numFmtId="0" fontId="174" fillId="45" borderId="7" xfId="8733" applyFont="1" applyFill="1" applyBorder="1" applyAlignment="1">
      <alignment horizontal="center"/>
    </xf>
    <xf numFmtId="0" fontId="174" fillId="45" borderId="3" xfId="8733" applyFont="1" applyFill="1" applyBorder="1" applyAlignment="1">
      <alignment horizontal="center"/>
    </xf>
    <xf numFmtId="0" fontId="174" fillId="45" borderId="4" xfId="8733" applyFont="1" applyFill="1" applyBorder="1" applyAlignment="1">
      <alignment horizontal="center"/>
    </xf>
    <xf numFmtId="0" fontId="174" fillId="45" borderId="5" xfId="8733" applyFont="1" applyFill="1" applyBorder="1" applyAlignment="1">
      <alignment horizontal="center"/>
    </xf>
    <xf numFmtId="0" fontId="174" fillId="45" borderId="81" xfId="8733" applyFont="1" applyFill="1" applyBorder="1" applyAlignment="1">
      <alignment horizontal="center"/>
    </xf>
    <xf numFmtId="0" fontId="103" fillId="45" borderId="80" xfId="8733" applyFont="1" applyFill="1" applyBorder="1" applyAlignment="1">
      <alignment horizontal="center"/>
    </xf>
    <xf numFmtId="0" fontId="103" fillId="45" borderId="79" xfId="8733" applyFont="1" applyFill="1" applyBorder="1" applyAlignment="1">
      <alignment horizontal="center"/>
    </xf>
    <xf numFmtId="0" fontId="103" fillId="45" borderId="78" xfId="8733" applyFont="1" applyFill="1" applyBorder="1" applyAlignment="1">
      <alignment horizontal="center"/>
    </xf>
    <xf numFmtId="0" fontId="170" fillId="48" borderId="80" xfId="8733" applyFont="1" applyFill="1" applyBorder="1" applyAlignment="1" applyProtection="1">
      <alignment horizontal="center"/>
      <protection locked="0"/>
    </xf>
    <xf numFmtId="0" fontId="170" fillId="48" borderId="79" xfId="8733" applyFont="1" applyFill="1" applyBorder="1" applyAlignment="1" applyProtection="1">
      <alignment horizontal="center"/>
      <protection locked="0"/>
    </xf>
    <xf numFmtId="0" fontId="170" fillId="48" borderId="78" xfId="8733" applyFont="1" applyFill="1" applyBorder="1" applyAlignment="1" applyProtection="1">
      <alignment horizontal="center"/>
      <protection locked="0"/>
    </xf>
    <xf numFmtId="1" fontId="3" fillId="44" borderId="11" xfId="8733" applyNumberFormat="1" applyFill="1" applyBorder="1" applyAlignment="1">
      <alignment horizontal="center"/>
    </xf>
    <xf numFmtId="0" fontId="3" fillId="44" borderId="11" xfId="8733" applyFill="1" applyBorder="1" applyAlignment="1">
      <alignment horizontal="center"/>
    </xf>
    <xf numFmtId="0" fontId="171" fillId="45" borderId="11" xfId="8733" applyFont="1" applyFill="1" applyBorder="1" applyAlignment="1">
      <alignment horizontal="right" wrapText="1"/>
    </xf>
    <xf numFmtId="0" fontId="177" fillId="45" borderId="11" xfId="8733" applyFont="1" applyFill="1" applyBorder="1" applyAlignment="1">
      <alignment horizontal="right"/>
    </xf>
    <xf numFmtId="14" fontId="170" fillId="48" borderId="11" xfId="8733" applyNumberFormat="1" applyFont="1" applyFill="1" applyBorder="1" applyAlignment="1" applyProtection="1">
      <alignment horizontal="center"/>
      <protection locked="0"/>
    </xf>
    <xf numFmtId="0" fontId="170" fillId="48" borderId="11" xfId="8733" applyFont="1" applyFill="1" applyBorder="1" applyAlignment="1" applyProtection="1">
      <alignment horizontal="center"/>
      <protection locked="0"/>
    </xf>
    <xf numFmtId="168" fontId="175" fillId="44" borderId="11" xfId="8734" applyNumberFormat="1" applyFont="1" applyFill="1" applyBorder="1" applyAlignment="1" applyProtection="1">
      <alignment horizontal="left"/>
    </xf>
    <xf numFmtId="0" fontId="170" fillId="44" borderId="80" xfId="8733" applyFont="1" applyFill="1" applyBorder="1" applyAlignment="1">
      <alignment horizontal="left"/>
    </xf>
    <xf numFmtId="0" fontId="170" fillId="44" borderId="79" xfId="8733" applyFont="1" applyFill="1" applyBorder="1" applyAlignment="1">
      <alignment horizontal="left"/>
    </xf>
    <xf numFmtId="0" fontId="170" fillId="44" borderId="78" xfId="8733" applyFont="1" applyFill="1" applyBorder="1" applyAlignment="1">
      <alignment horizontal="left"/>
    </xf>
    <xf numFmtId="0" fontId="171" fillId="45" borderId="11" xfId="8733" applyFont="1" applyFill="1" applyBorder="1" applyAlignment="1">
      <alignment horizontal="right"/>
    </xf>
    <xf numFmtId="1" fontId="170" fillId="48" borderId="11" xfId="8733" applyNumberFormat="1" applyFont="1" applyFill="1" applyBorder="1" applyAlignment="1" applyProtection="1">
      <alignment horizontal="center"/>
      <protection locked="0"/>
    </xf>
    <xf numFmtId="0" fontId="3" fillId="44" borderId="80" xfId="8733" applyFill="1" applyBorder="1" applyAlignment="1">
      <alignment horizontal="center"/>
    </xf>
    <xf numFmtId="0" fontId="3" fillId="44" borderId="79" xfId="8733" applyFill="1" applyBorder="1" applyAlignment="1">
      <alignment horizontal="center"/>
    </xf>
    <xf numFmtId="0" fontId="3" fillId="44" borderId="78" xfId="8733" applyFill="1" applyBorder="1" applyAlignment="1">
      <alignment horizontal="center"/>
    </xf>
    <xf numFmtId="0" fontId="182" fillId="51" borderId="65" xfId="8733" applyFont="1" applyFill="1" applyBorder="1" applyAlignment="1">
      <alignment horizontal="center"/>
    </xf>
    <xf numFmtId="0" fontId="182" fillId="51" borderId="29" xfId="8733" applyFont="1" applyFill="1" applyBorder="1" applyAlignment="1">
      <alignment horizontal="center"/>
    </xf>
    <xf numFmtId="0" fontId="182" fillId="51" borderId="31" xfId="8733" applyFont="1" applyFill="1" applyBorder="1" applyAlignment="1">
      <alignment horizontal="center"/>
    </xf>
    <xf numFmtId="0" fontId="167" fillId="48" borderId="66" xfId="8733" applyFont="1" applyFill="1" applyBorder="1" applyAlignment="1">
      <alignment horizontal="center"/>
    </xf>
    <xf numFmtId="0" fontId="167" fillId="48" borderId="0" xfId="8733" applyFont="1" applyFill="1" applyAlignment="1">
      <alignment horizontal="center"/>
    </xf>
    <xf numFmtId="0" fontId="167" fillId="48" borderId="41" xfId="8733" applyFont="1" applyFill="1" applyBorder="1" applyAlignment="1">
      <alignment horizontal="center"/>
    </xf>
    <xf numFmtId="168" fontId="18" fillId="0" borderId="11" xfId="569" applyNumberFormat="1" applyBorder="1"/>
    <xf numFmtId="168" fontId="18" fillId="0" borderId="3" xfId="569" applyNumberFormat="1" applyBorder="1"/>
    <xf numFmtId="168" fontId="18" fillId="0" borderId="4" xfId="569" applyNumberFormat="1" applyBorder="1"/>
    <xf numFmtId="168" fontId="18" fillId="0" borderId="5" xfId="569" applyNumberFormat="1" applyBorder="1"/>
    <xf numFmtId="168" fontId="18" fillId="0" borderId="11" xfId="569" applyNumberFormat="1" applyBorder="1" applyAlignment="1">
      <alignment wrapText="1"/>
    </xf>
    <xf numFmtId="168" fontId="18" fillId="0" borderId="11" xfId="569" applyNumberFormat="1" applyBorder="1" applyAlignment="1">
      <alignment horizontal="right"/>
    </xf>
    <xf numFmtId="9" fontId="18" fillId="0" borderId="15" xfId="569" applyNumberFormat="1" applyBorder="1" applyAlignment="1">
      <alignment horizontal="center"/>
    </xf>
    <xf numFmtId="168" fontId="18" fillId="0" borderId="11" xfId="569" applyNumberFormat="1" applyBorder="1" applyAlignment="1">
      <alignment horizontal="center"/>
    </xf>
    <xf numFmtId="0" fontId="18" fillId="0" borderId="11" xfId="569" applyBorder="1" applyAlignment="1">
      <alignment horizontal="center"/>
    </xf>
    <xf numFmtId="176" fontId="18" fillId="5" borderId="3" xfId="569" applyNumberFormat="1" applyFill="1" applyBorder="1" applyAlignment="1" applyProtection="1">
      <alignment horizontal="right"/>
      <protection locked="0"/>
    </xf>
    <xf numFmtId="176" fontId="18" fillId="5" borderId="4" xfId="569" applyNumberFormat="1" applyFill="1" applyBorder="1" applyAlignment="1" applyProtection="1">
      <alignment horizontal="right"/>
      <protection locked="0"/>
    </xf>
    <xf numFmtId="176" fontId="18" fillId="5" borderId="5" xfId="569" applyNumberFormat="1" applyFill="1" applyBorder="1" applyAlignment="1" applyProtection="1">
      <alignment horizontal="right"/>
      <protection locked="0"/>
    </xf>
    <xf numFmtId="0" fontId="108" fillId="0" borderId="0" xfId="0" applyFont="1" applyAlignment="1">
      <alignment horizontal="left" vertical="top" wrapText="1"/>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0" fontId="25" fillId="0" borderId="6" xfId="569" applyFont="1" applyBorder="1" applyAlignment="1">
      <alignment horizontal="center"/>
    </xf>
    <xf numFmtId="168" fontId="18" fillId="0" borderId="3" xfId="569" applyNumberFormat="1" applyBorder="1" applyAlignment="1">
      <alignment horizontal="center"/>
    </xf>
    <xf numFmtId="0" fontId="18" fillId="0" borderId="4" xfId="569" applyBorder="1" applyAlignment="1">
      <alignment horizontal="center"/>
    </xf>
    <xf numFmtId="0" fontId="18" fillId="0" borderId="5" xfId="569" applyBorder="1" applyAlignment="1">
      <alignment horizontal="center"/>
    </xf>
    <xf numFmtId="0" fontId="108" fillId="0" borderId="0" xfId="569" applyFont="1" applyAlignment="1">
      <alignment horizontal="left" wrapText="1"/>
    </xf>
    <xf numFmtId="168" fontId="18" fillId="0" borderId="3" xfId="569" applyNumberFormat="1" applyBorder="1" applyAlignment="1">
      <alignment horizontal="right"/>
    </xf>
    <xf numFmtId="168" fontId="18" fillId="0" borderId="4" xfId="569" applyNumberFormat="1" applyBorder="1" applyAlignment="1">
      <alignment horizontal="right"/>
    </xf>
    <xf numFmtId="168" fontId="18" fillId="0" borderId="5" xfId="569" applyNumberFormat="1" applyBorder="1" applyAlignment="1">
      <alignment horizontal="right"/>
    </xf>
    <xf numFmtId="0" fontId="25" fillId="0" borderId="16" xfId="271" applyFont="1" applyBorder="1" applyAlignment="1">
      <alignment horizontal="center"/>
    </xf>
    <xf numFmtId="168" fontId="18" fillId="0" borderId="4" xfId="569" applyNumberFormat="1" applyBorder="1" applyAlignment="1">
      <alignment horizontal="center"/>
    </xf>
    <xf numFmtId="168" fontId="18" fillId="0" borderId="5" xfId="569" applyNumberFormat="1" applyBorder="1" applyAlignment="1">
      <alignment horizontal="center"/>
    </xf>
    <xf numFmtId="0" fontId="25" fillId="0" borderId="11" xfId="569" applyFont="1" applyBorder="1" applyAlignment="1">
      <alignment horizontal="center" wrapText="1"/>
    </xf>
    <xf numFmtId="0" fontId="25" fillId="0" borderId="11" xfId="569" applyFont="1" applyBorder="1" applyAlignment="1">
      <alignment horizontal="center"/>
    </xf>
    <xf numFmtId="165" fontId="18" fillId="0" borderId="11" xfId="569" applyNumberFormat="1" applyBorder="1" applyAlignment="1" applyProtection="1">
      <alignment horizontal="center"/>
      <protection locked="0"/>
    </xf>
    <xf numFmtId="0" fontId="54" fillId="0" borderId="0" xfId="569" applyFont="1" applyAlignment="1">
      <alignment horizontal="left"/>
    </xf>
    <xf numFmtId="5" fontId="18" fillId="0" borderId="5" xfId="569" applyNumberFormat="1" applyBorder="1" applyAlignment="1">
      <alignment horizontal="center"/>
    </xf>
    <xf numFmtId="5" fontId="18" fillId="0" borderId="11" xfId="569" applyNumberFormat="1" applyBorder="1" applyAlignment="1">
      <alignment horizontal="center"/>
    </xf>
    <xf numFmtId="5" fontId="18" fillId="0" borderId="3" xfId="569" applyNumberFormat="1" applyBorder="1" applyAlignment="1">
      <alignment horizontal="center"/>
    </xf>
    <xf numFmtId="5" fontId="18" fillId="0" borderId="4" xfId="569" applyNumberFormat="1" applyBorder="1" applyAlignment="1">
      <alignment horizontal="center"/>
    </xf>
    <xf numFmtId="168" fontId="18" fillId="5" borderId="5" xfId="569" applyNumberFormat="1" applyFill="1" applyBorder="1" applyAlignment="1" applyProtection="1">
      <alignment horizontal="center"/>
      <protection locked="0"/>
    </xf>
    <xf numFmtId="168" fontId="18" fillId="5" borderId="11" xfId="569" applyNumberFormat="1" applyFill="1" applyBorder="1" applyAlignment="1" applyProtection="1">
      <alignment horizontal="center"/>
      <protection locked="0"/>
    </xf>
    <xf numFmtId="9" fontId="18" fillId="0" borderId="5" xfId="569" applyNumberFormat="1" applyBorder="1" applyAlignment="1">
      <alignment horizontal="center"/>
    </xf>
    <xf numFmtId="9" fontId="18" fillId="0" borderId="11" xfId="569" applyNumberFormat="1" applyBorder="1" applyAlignment="1">
      <alignment horizontal="center"/>
    </xf>
    <xf numFmtId="9" fontId="18" fillId="0" borderId="9" xfId="569" applyNumberFormat="1" applyBorder="1" applyAlignment="1">
      <alignment horizontal="center" vertical="center"/>
    </xf>
    <xf numFmtId="9" fontId="18" fillId="0" borderId="6" xfId="569" applyNumberFormat="1" applyBorder="1" applyAlignment="1">
      <alignment horizontal="center" vertical="center"/>
    </xf>
    <xf numFmtId="9" fontId="18" fillId="0" borderId="10" xfId="569" applyNumberFormat="1" applyBorder="1" applyAlignment="1">
      <alignment horizontal="center" vertical="center"/>
    </xf>
    <xf numFmtId="168" fontId="18" fillId="2" borderId="3" xfId="569" applyNumberFormat="1" applyFill="1" applyBorder="1" applyAlignment="1">
      <alignment horizontal="center"/>
    </xf>
    <xf numFmtId="168" fontId="18" fillId="2" borderId="4" xfId="569" applyNumberFormat="1" applyFill="1" applyBorder="1" applyAlignment="1">
      <alignment horizontal="center"/>
    </xf>
    <xf numFmtId="168" fontId="18" fillId="2" borderId="5" xfId="569" applyNumberFormat="1" applyFill="1" applyBorder="1" applyAlignment="1">
      <alignment horizontal="center"/>
    </xf>
    <xf numFmtId="168" fontId="18" fillId="5" borderId="10" xfId="569" applyNumberFormat="1" applyFill="1" applyBorder="1" applyAlignment="1" applyProtection="1">
      <alignment horizontal="center"/>
      <protection locked="0"/>
    </xf>
    <xf numFmtId="168" fontId="18" fillId="5" borderId="13" xfId="569" applyNumberFormat="1" applyFill="1" applyBorder="1" applyAlignment="1" applyProtection="1">
      <alignment horizontal="center"/>
      <protection locked="0"/>
    </xf>
    <xf numFmtId="0" fontId="24" fillId="3" borderId="2" xfId="569" applyFont="1" applyFill="1" applyBorder="1" applyAlignment="1">
      <alignment horizontal="center" vertical="center"/>
    </xf>
    <xf numFmtId="0" fontId="24" fillId="3" borderId="16" xfId="569" applyFont="1" applyFill="1" applyBorder="1" applyAlignment="1">
      <alignment horizontal="center" vertical="center"/>
    </xf>
    <xf numFmtId="168" fontId="18" fillId="0" borderId="7" xfId="569" applyNumberFormat="1" applyBorder="1" applyAlignment="1">
      <alignment horizontal="center"/>
    </xf>
    <xf numFmtId="168" fontId="18" fillId="0" borderId="15" xfId="569" applyNumberFormat="1" applyBorder="1" applyAlignment="1">
      <alignment horizontal="center"/>
    </xf>
    <xf numFmtId="0" fontId="25" fillId="0" borderId="3" xfId="569" applyFont="1" applyBorder="1" applyAlignment="1">
      <alignment horizontal="left"/>
    </xf>
    <xf numFmtId="0" fontId="25" fillId="0" borderId="5" xfId="569" applyFont="1" applyBorder="1" applyAlignment="1">
      <alignment horizontal="left"/>
    </xf>
    <xf numFmtId="0" fontId="26" fillId="0" borderId="4" xfId="569" applyFont="1" applyBorder="1" applyAlignment="1">
      <alignment horizontal="left"/>
    </xf>
    <xf numFmtId="0" fontId="26" fillId="0" borderId="5" xfId="569" applyFont="1" applyBorder="1" applyAlignment="1">
      <alignment horizontal="left"/>
    </xf>
    <xf numFmtId="179" fontId="25" fillId="0" borderId="0" xfId="569" applyNumberFormat="1" applyFont="1" applyAlignment="1">
      <alignment horizontal="center" wrapText="1"/>
    </xf>
    <xf numFmtId="164" fontId="25" fillId="0" borderId="0" xfId="569" applyNumberFormat="1" applyFont="1" applyAlignment="1">
      <alignment horizontal="center" wrapText="1"/>
    </xf>
    <xf numFmtId="0" fontId="18" fillId="0" borderId="3" xfId="569" applyBorder="1" applyAlignment="1">
      <alignment horizontal="right"/>
    </xf>
    <xf numFmtId="0" fontId="18" fillId="0" borderId="4" xfId="569" applyBorder="1" applyAlignment="1">
      <alignment horizontal="right"/>
    </xf>
    <xf numFmtId="0" fontId="18" fillId="0" borderId="5" xfId="569" applyBorder="1" applyAlignment="1">
      <alignment horizontal="right"/>
    </xf>
    <xf numFmtId="0" fontId="26" fillId="0" borderId="3" xfId="569" applyFont="1" applyBorder="1" applyAlignment="1">
      <alignment horizontal="right"/>
    </xf>
    <xf numFmtId="0" fontId="26" fillId="0" borderId="4" xfId="569" applyFont="1" applyBorder="1" applyAlignment="1">
      <alignment horizontal="right"/>
    </xf>
    <xf numFmtId="0" fontId="26" fillId="0" borderId="5" xfId="569" applyFont="1" applyBorder="1" applyAlignment="1">
      <alignment horizontal="right"/>
    </xf>
    <xf numFmtId="165" fontId="123" fillId="0" borderId="55" xfId="4496" applyNumberFormat="1" applyFont="1" applyBorder="1" applyAlignment="1">
      <alignment horizontal="center" vertical="top" wrapText="1"/>
    </xf>
    <xf numFmtId="165" fontId="123" fillId="0" borderId="6" xfId="4496" applyNumberFormat="1" applyFont="1" applyBorder="1" applyAlignment="1">
      <alignment horizontal="center" vertical="top" wrapText="1"/>
    </xf>
    <xf numFmtId="165" fontId="123" fillId="0" borderId="60" xfId="4496" applyNumberFormat="1" applyFont="1" applyBorder="1" applyAlignment="1">
      <alignment horizontal="center" vertical="top" wrapText="1"/>
    </xf>
    <xf numFmtId="165" fontId="123" fillId="0" borderId="4" xfId="4496" applyNumberFormat="1" applyFont="1" applyBorder="1" applyAlignment="1">
      <alignment horizontal="center" vertical="top" wrapText="1"/>
    </xf>
    <xf numFmtId="0" fontId="123" fillId="5" borderId="60" xfId="4496" applyFont="1" applyFill="1" applyBorder="1" applyAlignment="1" applyProtection="1">
      <alignment horizontal="center"/>
      <protection locked="0"/>
    </xf>
    <xf numFmtId="0" fontId="123" fillId="5" borderId="4" xfId="4496" applyFont="1" applyFill="1" applyBorder="1" applyAlignment="1" applyProtection="1">
      <alignment horizontal="center"/>
      <protection locked="0"/>
    </xf>
    <xf numFmtId="0" fontId="123" fillId="5" borderId="6" xfId="4496" applyFont="1" applyFill="1" applyBorder="1" applyAlignment="1" applyProtection="1">
      <alignment horizontal="center"/>
      <protection locked="0"/>
    </xf>
    <xf numFmtId="0" fontId="18" fillId="0" borderId="50" xfId="4495" applyFont="1" applyBorder="1" applyAlignment="1">
      <alignment horizontal="left" vertical="center" wrapText="1"/>
    </xf>
    <xf numFmtId="0" fontId="18" fillId="0" borderId="51" xfId="4495" applyFont="1" applyBorder="1" applyAlignment="1">
      <alignment horizontal="left" vertical="center" wrapText="1"/>
    </xf>
    <xf numFmtId="0" fontId="18" fillId="0" borderId="52" xfId="4495" applyFont="1" applyBorder="1" applyAlignment="1">
      <alignment horizontal="left" vertical="center" wrapText="1"/>
    </xf>
    <xf numFmtId="0" fontId="18" fillId="0" borderId="57" xfId="4495" applyFont="1" applyBorder="1" applyAlignment="1">
      <alignment horizontal="left" vertical="center" wrapText="1"/>
    </xf>
    <xf numFmtId="0" fontId="18" fillId="0" borderId="58" xfId="4495" applyFont="1" applyBorder="1" applyAlignment="1">
      <alignment horizontal="left" vertical="center" wrapText="1"/>
    </xf>
    <xf numFmtId="0" fontId="18" fillId="0" borderId="59" xfId="4495" applyFont="1" applyBorder="1" applyAlignment="1">
      <alignment horizontal="left" vertical="center" wrapText="1"/>
    </xf>
    <xf numFmtId="0" fontId="18" fillId="0" borderId="53" xfId="4495" applyFont="1" applyBorder="1" applyAlignment="1">
      <alignment horizontal="left" vertical="center" wrapText="1"/>
    </xf>
    <xf numFmtId="0" fontId="18" fillId="0" borderId="0" xfId="4495" applyFont="1" applyAlignment="1">
      <alignment horizontal="left" vertical="center" wrapText="1"/>
    </xf>
    <xf numFmtId="0" fontId="18" fillId="0" borderId="54" xfId="4495" applyFont="1" applyBorder="1" applyAlignment="1">
      <alignment horizontal="left" vertical="center" wrapText="1"/>
    </xf>
    <xf numFmtId="0" fontId="25" fillId="0" borderId="0" xfId="4495" applyFont="1" applyAlignment="1">
      <alignment horizontal="right"/>
    </xf>
    <xf numFmtId="0" fontId="123" fillId="0" borderId="50" xfId="4496" applyFont="1" applyBorder="1" applyAlignment="1">
      <alignment horizontal="left" vertical="top" wrapText="1"/>
    </xf>
    <xf numFmtId="0" fontId="123" fillId="0" borderId="51" xfId="4496" applyFont="1" applyBorder="1" applyAlignment="1">
      <alignment horizontal="left" vertical="top" wrapText="1"/>
    </xf>
    <xf numFmtId="0" fontId="123" fillId="0" borderId="52" xfId="4496" applyFont="1" applyBorder="1" applyAlignment="1">
      <alignment horizontal="left" vertical="top" wrapText="1"/>
    </xf>
    <xf numFmtId="0" fontId="123" fillId="0" borderId="53" xfId="4496" applyFont="1" applyBorder="1" applyAlignment="1">
      <alignment horizontal="left" vertical="top" wrapText="1"/>
    </xf>
    <xf numFmtId="0" fontId="123" fillId="0" borderId="0" xfId="4496" applyFont="1" applyAlignment="1">
      <alignment horizontal="left" vertical="top" wrapText="1"/>
    </xf>
    <xf numFmtId="0" fontId="123" fillId="0" borderId="54" xfId="4496" applyFont="1" applyBorder="1" applyAlignment="1">
      <alignment horizontal="left" vertical="top" wrapText="1"/>
    </xf>
    <xf numFmtId="0" fontId="123" fillId="0" borderId="57" xfId="4496" applyFont="1" applyBorder="1" applyAlignment="1">
      <alignment horizontal="left" vertical="top" wrapText="1"/>
    </xf>
    <xf numFmtId="0" fontId="123" fillId="0" borderId="58" xfId="4496" applyFont="1" applyBorder="1" applyAlignment="1">
      <alignment horizontal="left" vertical="top" wrapText="1"/>
    </xf>
    <xf numFmtId="0" fontId="123" fillId="0" borderId="59" xfId="4496" applyFont="1" applyBorder="1" applyAlignment="1">
      <alignment horizontal="left" vertical="top" wrapText="1"/>
    </xf>
    <xf numFmtId="0" fontId="123" fillId="5" borderId="55" xfId="4496" applyFont="1" applyFill="1" applyBorder="1" applyAlignment="1" applyProtection="1">
      <alignment horizontal="center"/>
      <protection locked="0"/>
    </xf>
    <xf numFmtId="0" fontId="123" fillId="0" borderId="47" xfId="4496" applyFont="1" applyBorder="1"/>
    <xf numFmtId="0" fontId="123" fillId="0" borderId="48" xfId="4496" applyFont="1" applyBorder="1"/>
    <xf numFmtId="0" fontId="123" fillId="0" borderId="49" xfId="4496" applyFont="1" applyBorder="1"/>
    <xf numFmtId="0" fontId="18" fillId="0" borderId="47" xfId="4495" applyFont="1" applyBorder="1" applyAlignment="1">
      <alignment horizontal="left" vertical="center" wrapText="1"/>
    </xf>
    <xf numFmtId="0" fontId="18" fillId="0" borderId="48" xfId="4495" applyFont="1" applyBorder="1" applyAlignment="1">
      <alignment horizontal="left" vertical="center" wrapText="1"/>
    </xf>
    <xf numFmtId="0" fontId="18" fillId="0" borderId="49" xfId="4495" applyFont="1" applyBorder="1" applyAlignment="1">
      <alignment horizontal="left" vertical="center" wrapText="1"/>
    </xf>
    <xf numFmtId="0" fontId="123" fillId="0" borderId="55" xfId="4496" applyFont="1" applyBorder="1" applyAlignment="1">
      <alignment horizontal="center" vertical="top" wrapText="1"/>
    </xf>
    <xf numFmtId="0" fontId="123" fillId="0" borderId="6" xfId="4496" applyFont="1" applyBorder="1" applyAlignment="1">
      <alignment horizontal="center" vertical="top" wrapText="1"/>
    </xf>
    <xf numFmtId="0" fontId="24" fillId="3" borderId="2" xfId="4495" applyFont="1" applyFill="1" applyBorder="1" applyAlignment="1">
      <alignment horizontal="center" vertical="center"/>
    </xf>
    <xf numFmtId="0" fontId="24" fillId="3" borderId="16" xfId="4495" applyFont="1" applyFill="1" applyBorder="1" applyAlignment="1">
      <alignment horizontal="center" vertical="center"/>
    </xf>
    <xf numFmtId="0" fontId="25" fillId="0" borderId="48" xfId="4495" applyFont="1" applyBorder="1" applyAlignment="1">
      <alignment horizontal="left" vertical="top"/>
    </xf>
    <xf numFmtId="0" fontId="25" fillId="0" borderId="49" xfId="4495" applyFont="1" applyBorder="1" applyAlignment="1">
      <alignment horizontal="left" vertical="top"/>
    </xf>
    <xf numFmtId="1" fontId="18" fillId="0" borderId="3" xfId="4495" applyNumberFormat="1" applyFont="1" applyBorder="1" applyAlignment="1">
      <alignment horizontal="center"/>
    </xf>
    <xf numFmtId="1" fontId="18" fillId="0" borderId="4" xfId="4495" applyNumberFormat="1" applyFont="1" applyBorder="1" applyAlignment="1">
      <alignment horizontal="center"/>
    </xf>
    <xf numFmtId="1" fontId="18" fillId="0" borderId="5" xfId="4495" applyNumberFormat="1" applyFont="1" applyBorder="1" applyAlignment="1">
      <alignment horizontal="center"/>
    </xf>
    <xf numFmtId="0" fontId="18" fillId="0" borderId="50" xfId="4495" applyFont="1" applyBorder="1" applyAlignment="1">
      <alignment vertical="center" wrapText="1"/>
    </xf>
    <xf numFmtId="0" fontId="18" fillId="0" borderId="51" xfId="4495" applyFont="1" applyBorder="1" applyAlignment="1">
      <alignment vertical="center" wrapText="1"/>
    </xf>
    <xf numFmtId="0" fontId="18" fillId="0" borderId="52" xfId="4495" applyFont="1" applyBorder="1" applyAlignment="1">
      <alignment vertical="center" wrapText="1"/>
    </xf>
    <xf numFmtId="0" fontId="18" fillId="0" borderId="57" xfId="4495" applyFont="1" applyBorder="1" applyAlignment="1">
      <alignment vertical="center" wrapText="1"/>
    </xf>
    <xf numFmtId="0" fontId="18" fillId="0" borderId="58" xfId="4495" applyFont="1" applyBorder="1" applyAlignment="1">
      <alignment vertical="center" wrapText="1"/>
    </xf>
    <xf numFmtId="0" fontId="18" fillId="0" borderId="59" xfId="4495" applyFont="1" applyBorder="1" applyAlignment="1">
      <alignment vertical="center" wrapText="1"/>
    </xf>
    <xf numFmtId="0" fontId="123" fillId="43" borderId="55" xfId="4496" applyFont="1" applyFill="1" applyBorder="1" applyAlignment="1" applyProtection="1">
      <alignment horizontal="left" vertical="top" wrapText="1"/>
      <protection locked="0"/>
    </xf>
    <xf numFmtId="0" fontId="123" fillId="43" borderId="6" xfId="4496" applyFont="1" applyFill="1" applyBorder="1" applyAlignment="1" applyProtection="1">
      <alignment horizontal="left" vertical="top" wrapText="1"/>
      <protection locked="0"/>
    </xf>
    <xf numFmtId="0" fontId="123" fillId="43" borderId="56" xfId="4496" applyFont="1" applyFill="1" applyBorder="1" applyAlignment="1" applyProtection="1">
      <alignment horizontal="left" vertical="top" wrapText="1"/>
      <protection locked="0"/>
    </xf>
    <xf numFmtId="0" fontId="25" fillId="0" borderId="0" xfId="4495" applyFont="1" applyAlignment="1">
      <alignment horizontal="center" vertical="top"/>
    </xf>
    <xf numFmtId="0" fontId="18" fillId="5" borderId="6" xfId="4495" applyFont="1" applyFill="1" applyBorder="1" applyAlignment="1" applyProtection="1">
      <alignment horizontal="left"/>
      <protection locked="0"/>
    </xf>
    <xf numFmtId="168" fontId="123" fillId="0" borderId="55" xfId="4496" applyNumberFormat="1" applyFont="1" applyBorder="1" applyAlignment="1">
      <alignment horizontal="center" vertical="top"/>
    </xf>
    <xf numFmtId="168" fontId="123" fillId="0" borderId="6" xfId="4496" applyNumberFormat="1" applyFont="1" applyBorder="1" applyAlignment="1">
      <alignment horizontal="center" vertical="top"/>
    </xf>
    <xf numFmtId="10" fontId="123" fillId="0" borderId="3" xfId="4496" applyNumberFormat="1" applyFont="1" applyBorder="1" applyAlignment="1">
      <alignment horizontal="center" vertical="top" wrapText="1"/>
    </xf>
    <xf numFmtId="10" fontId="123" fillId="0" borderId="4" xfId="4496" applyNumberFormat="1" applyFont="1" applyBorder="1" applyAlignment="1">
      <alignment horizontal="center" vertical="top" wrapText="1"/>
    </xf>
    <xf numFmtId="10" fontId="123" fillId="0" borderId="5" xfId="4496" applyNumberFormat="1" applyFont="1" applyBorder="1" applyAlignment="1">
      <alignment horizontal="center" vertical="top" wrapText="1"/>
    </xf>
    <xf numFmtId="1" fontId="123" fillId="0" borderId="55" xfId="4496" applyNumberFormat="1" applyFont="1" applyBorder="1" applyAlignment="1">
      <alignment horizontal="center" vertical="top" wrapText="1"/>
    </xf>
    <xf numFmtId="1" fontId="123" fillId="0" borderId="6" xfId="4496" applyNumberFormat="1" applyFont="1" applyBorder="1" applyAlignment="1">
      <alignment horizontal="center" vertical="top" wrapText="1"/>
    </xf>
    <xf numFmtId="168" fontId="123" fillId="43" borderId="55" xfId="4496" applyNumberFormat="1" applyFont="1" applyFill="1" applyBorder="1" applyAlignment="1" applyProtection="1">
      <alignment horizontal="center" vertical="top" wrapText="1"/>
      <protection locked="0"/>
    </xf>
    <xf numFmtId="168" fontId="123" fillId="43" borderId="6" xfId="4496" applyNumberFormat="1" applyFont="1" applyFill="1" applyBorder="1" applyAlignment="1" applyProtection="1">
      <alignment horizontal="center" vertical="top" wrapText="1"/>
      <protection locked="0"/>
    </xf>
    <xf numFmtId="0" fontId="18" fillId="0" borderId="0" xfId="1192" applyAlignment="1">
      <alignment horizontal="right"/>
    </xf>
    <xf numFmtId="0" fontId="18" fillId="5" borderId="6" xfId="1192" applyFill="1" applyBorder="1" applyAlignment="1" applyProtection="1">
      <alignment horizontal="left"/>
      <protection locked="0"/>
    </xf>
    <xf numFmtId="168" fontId="18" fillId="43" borderId="6" xfId="4495" applyNumberFormat="1" applyFont="1" applyFill="1" applyBorder="1" applyAlignment="1" applyProtection="1">
      <alignment horizontal="right"/>
      <protection locked="0"/>
    </xf>
    <xf numFmtId="9" fontId="18" fillId="0" borderId="6" xfId="1192" applyNumberFormat="1" applyBorder="1" applyAlignment="1">
      <alignment horizontal="center"/>
    </xf>
    <xf numFmtId="9" fontId="18" fillId="0" borderId="6" xfId="1192" quotePrefix="1" applyNumberFormat="1" applyBorder="1" applyAlignment="1">
      <alignment horizontal="center"/>
    </xf>
    <xf numFmtId="9" fontId="18" fillId="0" borderId="0" xfId="1192" quotePrefix="1" applyNumberFormat="1" applyAlignment="1">
      <alignment horizontal="center"/>
    </xf>
    <xf numFmtId="1" fontId="18" fillId="5" borderId="2" xfId="1192" applyNumberFormat="1" applyFill="1" applyBorder="1" applyAlignment="1" applyProtection="1">
      <alignment horizontal="center"/>
      <protection locked="0"/>
    </xf>
    <xf numFmtId="9" fontId="18" fillId="5" borderId="4" xfId="1192" applyNumberFormat="1" applyFill="1" applyBorder="1" applyAlignment="1" applyProtection="1">
      <alignment horizontal="left"/>
      <protection locked="0"/>
    </xf>
    <xf numFmtId="168" fontId="18" fillId="0" borderId="0" xfId="1192" applyNumberFormat="1" applyAlignment="1">
      <alignment horizontal="right"/>
    </xf>
    <xf numFmtId="1" fontId="18" fillId="5" borderId="4" xfId="1192" applyNumberFormat="1" applyFill="1" applyBorder="1" applyAlignment="1" applyProtection="1">
      <alignment horizontal="center"/>
      <protection locked="0"/>
    </xf>
    <xf numFmtId="0" fontId="143" fillId="0" borderId="6" xfId="1192" applyFont="1" applyBorder="1" applyAlignment="1">
      <alignment horizontal="center"/>
    </xf>
    <xf numFmtId="168" fontId="18" fillId="5" borderId="4" xfId="1192" applyNumberFormat="1" applyFill="1" applyBorder="1" applyAlignment="1" applyProtection="1">
      <alignment horizontal="center"/>
      <protection locked="0"/>
    </xf>
    <xf numFmtId="0" fontId="18" fillId="0" borderId="6" xfId="1192" applyBorder="1" applyAlignment="1">
      <alignment horizontal="left"/>
    </xf>
    <xf numFmtId="2" fontId="18" fillId="0" borderId="0" xfId="1192" applyNumberFormat="1" applyAlignment="1">
      <alignment horizontal="right"/>
    </xf>
    <xf numFmtId="0" fontId="26" fillId="5" borderId="6" xfId="4495" applyFont="1" applyFill="1" applyBorder="1" applyAlignment="1" applyProtection="1">
      <alignment horizontal="left"/>
      <protection locked="0"/>
    </xf>
    <xf numFmtId="0" fontId="18" fillId="0" borderId="0" xfId="4495" applyFont="1" applyAlignment="1">
      <alignment horizontal="left"/>
    </xf>
    <xf numFmtId="0" fontId="54" fillId="5" borderId="6" xfId="4495" applyFont="1" applyFill="1" applyBorder="1" applyAlignment="1" applyProtection="1">
      <alignment horizontal="left"/>
      <protection locked="0"/>
    </xf>
    <xf numFmtId="0" fontId="18" fillId="5" borderId="6" xfId="4495" applyFont="1" applyFill="1" applyBorder="1" applyAlignment="1" applyProtection="1">
      <alignment horizontal="center"/>
      <protection locked="0"/>
    </xf>
    <xf numFmtId="0" fontId="18" fillId="44" borderId="6" xfId="4495" applyFont="1" applyFill="1" applyBorder="1" applyAlignment="1">
      <alignment horizontal="left"/>
    </xf>
    <xf numFmtId="1" fontId="18" fillId="0" borderId="11" xfId="4495" applyNumberFormat="1" applyFont="1" applyBorder="1" applyAlignment="1">
      <alignment horizontal="center"/>
    </xf>
    <xf numFmtId="0" fontId="18" fillId="0" borderId="11" xfId="4495" applyFont="1" applyBorder="1" applyAlignment="1">
      <alignment horizontal="center"/>
    </xf>
    <xf numFmtId="0" fontId="121" fillId="5" borderId="6" xfId="4495" applyFill="1" applyBorder="1" applyAlignment="1" applyProtection="1">
      <alignment horizontal="center"/>
      <protection locked="0"/>
    </xf>
    <xf numFmtId="0" fontId="25" fillId="0" borderId="0" xfId="4495" applyFont="1" applyAlignment="1">
      <alignment horizontal="left" vertical="top"/>
    </xf>
    <xf numFmtId="0" fontId="121" fillId="0" borderId="0" xfId="4495" applyAlignment="1" applyProtection="1">
      <alignment horizontal="center"/>
      <protection locked="0"/>
    </xf>
    <xf numFmtId="0" fontId="18" fillId="0" borderId="3" xfId="4495" applyFont="1" applyBorder="1" applyAlignment="1">
      <alignment horizontal="center"/>
    </xf>
    <xf numFmtId="0" fontId="18" fillId="0" borderId="4" xfId="4495" applyFont="1" applyBorder="1" applyAlignment="1">
      <alignment horizontal="center"/>
    </xf>
    <xf numFmtId="0" fontId="18" fillId="0" borderId="5" xfId="4495" applyFont="1" applyBorder="1" applyAlignment="1">
      <alignment horizontal="center"/>
    </xf>
    <xf numFmtId="168" fontId="18" fillId="0" borderId="6" xfId="4496" applyNumberFormat="1" applyFont="1" applyBorder="1" applyAlignment="1">
      <alignment horizontal="center"/>
    </xf>
    <xf numFmtId="9" fontId="18" fillId="0" borderId="4" xfId="543" applyNumberFormat="1" applyBorder="1" applyAlignment="1">
      <alignment horizontal="center"/>
    </xf>
    <xf numFmtId="0" fontId="18" fillId="0" borderId="4" xfId="4496" applyFont="1" applyBorder="1" applyAlignment="1">
      <alignment horizontal="center"/>
    </xf>
    <xf numFmtId="0" fontId="18" fillId="0" borderId="5" xfId="4496" applyFont="1" applyBorder="1" applyAlignment="1">
      <alignment horizontal="center"/>
    </xf>
    <xf numFmtId="168" fontId="18" fillId="0" borderId="6" xfId="4495" applyNumberFormat="1" applyFont="1" applyBorder="1" applyAlignment="1">
      <alignment horizontal="right"/>
    </xf>
    <xf numFmtId="168" fontId="119" fillId="0" borderId="6" xfId="4495" applyNumberFormat="1" applyFont="1" applyBorder="1" applyAlignment="1">
      <alignment horizontal="right"/>
    </xf>
    <xf numFmtId="6" fontId="18" fillId="0" borderId="3" xfId="1192" applyNumberFormat="1" applyBorder="1" applyAlignment="1">
      <alignment horizontal="right"/>
    </xf>
    <xf numFmtId="6" fontId="18" fillId="0" borderId="4" xfId="1192" applyNumberFormat="1" applyBorder="1" applyAlignment="1">
      <alignment horizontal="right"/>
    </xf>
    <xf numFmtId="6" fontId="18" fillId="0" borderId="5" xfId="1192" applyNumberFormat="1" applyBorder="1" applyAlignment="1">
      <alignment horizontal="right"/>
    </xf>
    <xf numFmtId="168" fontId="18" fillId="0" borderId="4" xfId="4495" applyNumberFormat="1" applyFont="1" applyBorder="1" applyAlignment="1">
      <alignment horizontal="right"/>
    </xf>
    <xf numFmtId="165" fontId="18" fillId="43" borderId="3" xfId="4495" applyNumberFormat="1" applyFont="1" applyFill="1" applyBorder="1" applyAlignment="1" applyProtection="1">
      <alignment horizontal="center"/>
      <protection locked="0"/>
    </xf>
    <xf numFmtId="165" fontId="18" fillId="43" borderId="4" xfId="4495" applyNumberFormat="1" applyFont="1" applyFill="1" applyBorder="1" applyAlignment="1" applyProtection="1">
      <alignment horizontal="center"/>
      <protection locked="0"/>
    </xf>
    <xf numFmtId="165" fontId="18" fillId="43" borderId="5" xfId="4495" applyNumberFormat="1" applyFont="1" applyFill="1" applyBorder="1" applyAlignment="1" applyProtection="1">
      <alignment horizontal="center"/>
      <protection locked="0"/>
    </xf>
    <xf numFmtId="165" fontId="18" fillId="0" borderId="6" xfId="1192" applyNumberFormat="1" applyBorder="1" applyAlignment="1">
      <alignment horizontal="right"/>
    </xf>
    <xf numFmtId="168" fontId="18" fillId="0" borderId="2" xfId="1192" applyNumberFormat="1" applyBorder="1" applyAlignment="1">
      <alignment horizontal="right"/>
    </xf>
    <xf numFmtId="165" fontId="18" fillId="0" borderId="0" xfId="1192" applyNumberFormat="1" applyAlignment="1">
      <alignment horizontal="right"/>
    </xf>
    <xf numFmtId="0" fontId="18" fillId="0" borderId="53" xfId="4495" applyFont="1" applyBorder="1" applyAlignment="1">
      <alignment horizontal="left" vertical="top" wrapText="1"/>
    </xf>
    <xf numFmtId="0" fontId="18" fillId="0" borderId="0" xfId="4495" applyFont="1" applyAlignment="1">
      <alignment horizontal="left" vertical="top" wrapText="1"/>
    </xf>
    <xf numFmtId="0" fontId="18" fillId="0" borderId="54" xfId="4495" applyFont="1" applyBorder="1" applyAlignment="1">
      <alignment horizontal="left" vertical="top" wrapText="1"/>
    </xf>
    <xf numFmtId="0" fontId="18" fillId="0" borderId="57" xfId="4495" applyFont="1" applyBorder="1" applyAlignment="1">
      <alignment horizontal="left" vertical="top" wrapText="1"/>
    </xf>
    <xf numFmtId="0" fontId="18" fillId="0" borderId="58" xfId="4495" applyFont="1" applyBorder="1" applyAlignment="1">
      <alignment horizontal="left" vertical="top" wrapText="1"/>
    </xf>
    <xf numFmtId="0" fontId="18" fillId="0" borderId="59" xfId="4495" applyFont="1" applyBorder="1" applyAlignment="1">
      <alignment horizontal="left" vertical="top" wrapText="1"/>
    </xf>
    <xf numFmtId="0" fontId="18" fillId="0" borderId="50" xfId="4495" applyFont="1" applyBorder="1" applyAlignment="1">
      <alignment horizontal="left" vertical="top" wrapText="1"/>
    </xf>
    <xf numFmtId="0" fontId="18" fillId="0" borderId="51" xfId="4495" applyFont="1" applyBorder="1" applyAlignment="1">
      <alignment horizontal="left" vertical="top" wrapText="1"/>
    </xf>
    <xf numFmtId="0" fontId="18" fillId="0" borderId="52" xfId="4495" applyFont="1" applyBorder="1" applyAlignment="1">
      <alignment horizontal="left" vertical="top" wrapText="1"/>
    </xf>
    <xf numFmtId="0" fontId="25" fillId="0" borderId="0" xfId="4495" applyFont="1"/>
    <xf numFmtId="0" fontId="18" fillId="43" borderId="53" xfId="4495" applyFont="1" applyFill="1" applyBorder="1" applyAlignment="1" applyProtection="1">
      <alignment vertical="top" wrapText="1"/>
      <protection locked="0"/>
    </xf>
    <xf numFmtId="0" fontId="18" fillId="43" borderId="0" xfId="4495" applyFont="1" applyFill="1" applyAlignment="1" applyProtection="1">
      <alignment vertical="top" wrapText="1"/>
      <protection locked="0"/>
    </xf>
    <xf numFmtId="0" fontId="18" fillId="43" borderId="54" xfId="4495" applyFont="1" applyFill="1" applyBorder="1" applyAlignment="1" applyProtection="1">
      <alignment vertical="top" wrapText="1"/>
      <protection locked="0"/>
    </xf>
    <xf numFmtId="0" fontId="18" fillId="43" borderId="55" xfId="4495" applyFont="1" applyFill="1" applyBorder="1" applyAlignment="1" applyProtection="1">
      <alignment vertical="top" wrapText="1"/>
      <protection locked="0"/>
    </xf>
    <xf numFmtId="0" fontId="18" fillId="43" borderId="6" xfId="4495" applyFont="1" applyFill="1" applyBorder="1" applyAlignment="1" applyProtection="1">
      <alignment vertical="top" wrapText="1"/>
      <protection locked="0"/>
    </xf>
    <xf numFmtId="0" fontId="18" fillId="43" borderId="56" xfId="4495" applyFont="1" applyFill="1" applyBorder="1" applyAlignment="1" applyProtection="1">
      <alignment vertical="top" wrapText="1"/>
      <protection locked="0"/>
    </xf>
    <xf numFmtId="0" fontId="18" fillId="43" borderId="0" xfId="4495" applyFont="1" applyFill="1" applyAlignment="1" applyProtection="1">
      <alignment horizontal="left" vertical="center" wrapText="1"/>
      <protection locked="0"/>
    </xf>
    <xf numFmtId="0" fontId="18" fillId="43" borderId="54" xfId="4495" applyFont="1" applyFill="1" applyBorder="1" applyAlignment="1" applyProtection="1">
      <alignment horizontal="left" vertical="center" wrapText="1"/>
      <protection locked="0"/>
    </xf>
    <xf numFmtId="0" fontId="18" fillId="43" borderId="6" xfId="4495" applyFont="1" applyFill="1" applyBorder="1" applyAlignment="1" applyProtection="1">
      <alignment horizontal="left" vertical="center" wrapText="1"/>
      <protection locked="0"/>
    </xf>
    <xf numFmtId="0" fontId="18" fillId="43" borderId="56" xfId="4495" applyFont="1" applyFill="1" applyBorder="1" applyAlignment="1" applyProtection="1">
      <alignment horizontal="left" vertical="center" wrapText="1"/>
      <protection locked="0"/>
    </xf>
    <xf numFmtId="0" fontId="131" fillId="0" borderId="0" xfId="4495" applyFont="1" applyAlignment="1">
      <alignment horizontal="left" vertical="top" wrapText="1"/>
    </xf>
    <xf numFmtId="0" fontId="121" fillId="5" borderId="55" xfId="4495" applyFill="1" applyBorder="1" applyAlignment="1" applyProtection="1">
      <alignment horizontal="center"/>
      <protection locked="0"/>
    </xf>
    <xf numFmtId="0" fontId="25" fillId="0" borderId="0" xfId="4495" applyFont="1" applyAlignment="1">
      <alignment horizontal="center"/>
    </xf>
    <xf numFmtId="0" fontId="25" fillId="0" borderId="54" xfId="4495" applyFont="1" applyBorder="1" applyAlignment="1">
      <alignment horizontal="center"/>
    </xf>
    <xf numFmtId="0" fontId="26" fillId="0" borderId="51" xfId="4495" applyFont="1" applyBorder="1" applyAlignment="1">
      <alignment horizontal="left" vertical="top" wrapText="1"/>
    </xf>
    <xf numFmtId="0" fontId="26" fillId="0" borderId="0" xfId="4495" applyFont="1" applyAlignment="1">
      <alignment horizontal="left" vertical="top" wrapText="1"/>
    </xf>
    <xf numFmtId="0" fontId="25" fillId="0" borderId="54" xfId="4495" applyFont="1" applyBorder="1" applyAlignment="1">
      <alignment horizontal="center" vertical="top"/>
    </xf>
    <xf numFmtId="0" fontId="121" fillId="5" borderId="62" xfId="4495" applyFill="1" applyBorder="1" applyAlignment="1" applyProtection="1">
      <alignment horizontal="center"/>
      <protection locked="0"/>
    </xf>
    <xf numFmtId="0" fontId="121" fillId="5" borderId="63" xfId="4495" applyFill="1" applyBorder="1" applyAlignment="1" applyProtection="1">
      <alignment horizontal="center"/>
      <protection locked="0"/>
    </xf>
    <xf numFmtId="0" fontId="18" fillId="0" borderId="0" xfId="4495" applyFont="1" applyAlignment="1">
      <alignment horizontal="left" vertical="center" wrapText="1" shrinkToFit="1"/>
    </xf>
    <xf numFmtId="0" fontId="18" fillId="5" borderId="6" xfId="4495" applyFont="1" applyFill="1" applyBorder="1" applyAlignment="1" applyProtection="1">
      <alignment horizontal="center" vertical="center" wrapText="1" shrinkToFit="1"/>
      <protection locked="0"/>
    </xf>
    <xf numFmtId="0" fontId="18" fillId="5" borderId="6" xfId="4495" applyFont="1" applyFill="1" applyBorder="1" applyAlignment="1" applyProtection="1">
      <alignment horizontal="left" wrapText="1" shrinkToFit="1"/>
      <protection locked="0"/>
    </xf>
    <xf numFmtId="0" fontId="18" fillId="43" borderId="6" xfId="1192" applyFill="1" applyBorder="1" applyAlignment="1" applyProtection="1">
      <alignment horizontal="left" vertical="top"/>
      <protection locked="0"/>
    </xf>
    <xf numFmtId="0" fontId="158" fillId="0" borderId="0" xfId="0" applyFont="1" applyAlignment="1" applyProtection="1">
      <alignment horizontal="left"/>
      <protection locked="0"/>
    </xf>
    <xf numFmtId="168" fontId="157" fillId="0" borderId="0" xfId="0" applyNumberFormat="1" applyFont="1" applyAlignment="1">
      <alignment horizontal="center" vertical="top" wrapText="1"/>
    </xf>
    <xf numFmtId="168" fontId="157" fillId="0" borderId="12" xfId="0" applyNumberFormat="1" applyFont="1" applyBorder="1" applyAlignment="1">
      <alignment horizontal="center" vertical="top" wrapText="1"/>
    </xf>
    <xf numFmtId="0" fontId="26" fillId="0" borderId="0" xfId="4495" applyFont="1" applyAlignment="1">
      <alignment horizontal="center"/>
    </xf>
    <xf numFmtId="0" fontId="18" fillId="0" borderId="0" xfId="4495" applyFont="1" applyAlignment="1">
      <alignment wrapText="1"/>
    </xf>
    <xf numFmtId="0" fontId="18" fillId="0" borderId="0" xfId="4495" applyFont="1" applyAlignment="1">
      <alignment horizontal="left" vertical="top" wrapText="1" shrinkToFit="1"/>
    </xf>
    <xf numFmtId="44" fontId="18" fillId="0" borderId="0" xfId="707" applyFont="1" applyFill="1" applyBorder="1" applyAlignment="1" applyProtection="1">
      <alignment horizontal="left" vertical="top" wrapText="1"/>
    </xf>
    <xf numFmtId="0" fontId="25" fillId="0" borderId="0" xfId="4495" applyFont="1" applyAlignment="1">
      <alignment horizontal="left" vertical="top" wrapText="1"/>
    </xf>
    <xf numFmtId="0" fontId="18" fillId="45" borderId="11" xfId="4495" applyFont="1" applyFill="1" applyBorder="1" applyAlignment="1">
      <alignment horizontal="center"/>
    </xf>
    <xf numFmtId="0" fontId="131" fillId="0" borderId="0" xfId="4495" applyFont="1" applyAlignment="1">
      <alignment horizontal="left" vertical="center" wrapText="1"/>
    </xf>
    <xf numFmtId="0" fontId="25" fillId="0" borderId="11" xfId="4495" applyFont="1" applyBorder="1" applyAlignment="1">
      <alignment horizontal="center"/>
    </xf>
    <xf numFmtId="0" fontId="26" fillId="0" borderId="58" xfId="4495" applyFont="1" applyBorder="1" applyAlignment="1">
      <alignment horizontal="left" vertical="top" wrapText="1"/>
    </xf>
    <xf numFmtId="0" fontId="25" fillId="0" borderId="51" xfId="4495" applyFont="1" applyBorder="1" applyAlignment="1">
      <alignment horizontal="center" vertical="top"/>
    </xf>
    <xf numFmtId="0" fontId="25" fillId="0" borderId="52" xfId="4495" applyFont="1" applyBorder="1" applyAlignment="1">
      <alignment horizontal="center" vertical="top"/>
    </xf>
    <xf numFmtId="0" fontId="121" fillId="5" borderId="50" xfId="4495" applyFill="1" applyBorder="1" applyAlignment="1">
      <alignment horizontal="center"/>
    </xf>
    <xf numFmtId="0" fontId="121" fillId="5" borderId="51" xfId="4495" applyFill="1" applyBorder="1" applyAlignment="1">
      <alignment horizontal="center"/>
    </xf>
    <xf numFmtId="0" fontId="54" fillId="0" borderId="51" xfId="4495" applyFont="1" applyBorder="1" applyAlignment="1">
      <alignment horizontal="left" wrapText="1"/>
    </xf>
    <xf numFmtId="0" fontId="54" fillId="0" borderId="0" xfId="4495" applyFont="1" applyAlignment="1">
      <alignment horizontal="left" wrapText="1"/>
    </xf>
    <xf numFmtId="0" fontId="121" fillId="5" borderId="53" xfId="4495" applyFill="1" applyBorder="1" applyAlignment="1">
      <alignment horizontal="center"/>
    </xf>
    <xf numFmtId="0" fontId="121" fillId="5" borderId="0" xfId="4495" applyFill="1" applyAlignment="1">
      <alignment horizontal="center"/>
    </xf>
    <xf numFmtId="0" fontId="121" fillId="5" borderId="55" xfId="4495" applyFill="1" applyBorder="1" applyAlignment="1">
      <alignment horizontal="center"/>
    </xf>
    <xf numFmtId="0" fontId="121" fillId="5" borderId="6" xfId="4495" applyFill="1" applyBorder="1" applyAlignment="1">
      <alignment horizontal="center"/>
    </xf>
    <xf numFmtId="0" fontId="26" fillId="5" borderId="0" xfId="4495" applyFont="1" applyFill="1" applyAlignment="1">
      <alignment horizontal="left" vertical="top" wrapText="1"/>
    </xf>
    <xf numFmtId="0" fontId="26" fillId="5" borderId="58" xfId="4495" applyFont="1" applyFill="1" applyBorder="1" applyAlignment="1">
      <alignment horizontal="left" vertical="top" wrapText="1"/>
    </xf>
    <xf numFmtId="0" fontId="25" fillId="0" borderId="4" xfId="4495" applyFont="1" applyBorder="1" applyAlignment="1">
      <alignment horizontal="left"/>
    </xf>
    <xf numFmtId="0" fontId="25" fillId="0" borderId="5" xfId="4495" applyFont="1" applyBorder="1" applyAlignment="1">
      <alignment horizontal="left"/>
    </xf>
    <xf numFmtId="1" fontId="25" fillId="0" borderId="4" xfId="4495" applyNumberFormat="1" applyFont="1" applyBorder="1" applyAlignment="1">
      <alignment horizontal="center" wrapText="1"/>
    </xf>
    <xf numFmtId="0" fontId="25" fillId="0" borderId="4" xfId="4495" applyFont="1" applyBorder="1" applyAlignment="1">
      <alignment horizontal="center" wrapText="1"/>
    </xf>
    <xf numFmtId="0" fontId="25" fillId="0" borderId="5" xfId="4495" applyFont="1" applyBorder="1" applyAlignment="1">
      <alignment horizontal="center" wrapText="1"/>
    </xf>
    <xf numFmtId="0" fontId="25" fillId="0" borderId="3" xfId="4495" applyFont="1" applyBorder="1" applyAlignment="1">
      <alignment horizontal="center" wrapText="1"/>
    </xf>
    <xf numFmtId="0" fontId="18" fillId="0" borderId="50" xfId="4496" applyFont="1" applyBorder="1" applyAlignment="1">
      <alignment horizontal="left" wrapText="1"/>
    </xf>
    <xf numFmtId="0" fontId="18" fillId="0" borderId="51" xfId="4496" applyFont="1" applyBorder="1" applyAlignment="1">
      <alignment horizontal="left" wrapText="1"/>
    </xf>
    <xf numFmtId="0" fontId="18" fillId="0" borderId="52" xfId="4496" applyFont="1" applyBorder="1" applyAlignment="1">
      <alignment horizontal="left" wrapText="1"/>
    </xf>
    <xf numFmtId="0" fontId="18" fillId="0" borderId="53" xfId="4496" applyFont="1" applyBorder="1" applyAlignment="1">
      <alignment horizontal="left" wrapText="1"/>
    </xf>
    <xf numFmtId="0" fontId="18" fillId="0" borderId="0" xfId="4496" applyFont="1" applyAlignment="1">
      <alignment horizontal="left" wrapText="1"/>
    </xf>
    <xf numFmtId="0" fontId="18" fillId="0" borderId="54" xfId="4496" applyFont="1" applyBorder="1" applyAlignment="1">
      <alignment horizontal="left" wrapText="1"/>
    </xf>
    <xf numFmtId="0" fontId="18" fillId="0" borderId="57" xfId="4496" applyFont="1" applyBorder="1" applyAlignment="1">
      <alignment horizontal="left" wrapText="1"/>
    </xf>
    <xf numFmtId="0" fontId="18" fillId="0" borderId="58" xfId="4496" applyFont="1" applyBorder="1" applyAlignment="1">
      <alignment horizontal="left" wrapText="1"/>
    </xf>
    <xf numFmtId="0" fontId="18" fillId="0" borderId="59" xfId="4496" applyFont="1" applyBorder="1" applyAlignment="1">
      <alignment horizontal="left" wrapText="1"/>
    </xf>
    <xf numFmtId="1" fontId="18" fillId="0" borderId="4" xfId="4496" applyNumberFormat="1" applyFont="1" applyBorder="1" applyAlignment="1">
      <alignment horizontal="center"/>
    </xf>
    <xf numFmtId="1" fontId="18" fillId="0" borderId="5" xfId="4496" applyNumberFormat="1" applyFont="1" applyBorder="1" applyAlignment="1">
      <alignment horizontal="center"/>
    </xf>
    <xf numFmtId="49" fontId="24" fillId="3" borderId="2" xfId="4495" applyNumberFormat="1" applyFont="1" applyFill="1" applyBorder="1" applyAlignment="1">
      <alignment horizontal="center" vertical="center" wrapText="1"/>
    </xf>
    <xf numFmtId="49" fontId="24" fillId="3" borderId="2" xfId="4495" applyNumberFormat="1" applyFont="1" applyFill="1" applyBorder="1" applyAlignment="1">
      <alignment horizontal="center" vertical="center"/>
    </xf>
    <xf numFmtId="49" fontId="24" fillId="3" borderId="0" xfId="4495" applyNumberFormat="1" applyFont="1" applyFill="1" applyAlignment="1">
      <alignment horizontal="center" vertical="center"/>
    </xf>
    <xf numFmtId="0" fontId="25" fillId="0" borderId="1" xfId="4495" applyFont="1" applyBorder="1" applyAlignment="1">
      <alignment horizontal="center" wrapText="1"/>
    </xf>
    <xf numFmtId="0" fontId="25" fillId="0" borderId="2" xfId="4495" applyFont="1" applyBorder="1" applyAlignment="1">
      <alignment horizontal="center" wrapText="1"/>
    </xf>
    <xf numFmtId="0" fontId="25" fillId="0" borderId="7" xfId="4495" applyFont="1" applyBorder="1" applyAlignment="1">
      <alignment horizontal="center" wrapText="1"/>
    </xf>
    <xf numFmtId="0" fontId="25" fillId="0" borderId="9" xfId="4495" applyFont="1" applyBorder="1" applyAlignment="1">
      <alignment horizontal="center" wrapText="1"/>
    </xf>
    <xf numFmtId="0" fontId="25" fillId="0" borderId="6" xfId="4495" applyFont="1" applyBorder="1" applyAlignment="1">
      <alignment horizontal="center" wrapText="1"/>
    </xf>
    <xf numFmtId="0" fontId="25" fillId="0" borderId="10" xfId="4495" applyFont="1" applyBorder="1" applyAlignment="1">
      <alignment horizontal="center" wrapText="1"/>
    </xf>
    <xf numFmtId="1" fontId="25" fillId="0" borderId="11" xfId="4495" applyNumberFormat="1" applyFont="1" applyBorder="1" applyAlignment="1">
      <alignment horizontal="center"/>
    </xf>
    <xf numFmtId="0" fontId="18" fillId="0" borderId="4" xfId="4495" applyFont="1" applyBorder="1" applyAlignment="1">
      <alignment horizontal="left"/>
    </xf>
    <xf numFmtId="0" fontId="18" fillId="0" borderId="5" xfId="4495" applyFont="1" applyBorder="1" applyAlignment="1">
      <alignment horizontal="left"/>
    </xf>
    <xf numFmtId="1" fontId="18" fillId="46" borderId="11" xfId="4495" applyNumberFormat="1" applyFont="1" applyFill="1" applyBorder="1" applyAlignment="1">
      <alignment horizontal="center"/>
    </xf>
    <xf numFmtId="0" fontId="25" fillId="0" borderId="3" xfId="4495" applyFont="1" applyBorder="1" applyAlignment="1">
      <alignment horizontal="left"/>
    </xf>
    <xf numFmtId="0" fontId="18" fillId="5" borderId="11" xfId="4495" applyFont="1" applyFill="1" applyBorder="1" applyAlignment="1" applyProtection="1">
      <alignment horizontal="center"/>
      <protection locked="0"/>
    </xf>
    <xf numFmtId="0" fontId="25" fillId="0" borderId="3" xfId="4495" applyFont="1" applyBorder="1" applyAlignment="1">
      <alignment horizontal="center"/>
    </xf>
    <xf numFmtId="0" fontId="25" fillId="0" borderId="4" xfId="4495" applyFont="1" applyBorder="1" applyAlignment="1">
      <alignment horizontal="center"/>
    </xf>
    <xf numFmtId="0" fontId="25" fillId="0" borderId="5" xfId="4495" applyFont="1" applyBorder="1" applyAlignment="1">
      <alignment horizontal="center"/>
    </xf>
    <xf numFmtId="164" fontId="65" fillId="0" borderId="1" xfId="4495" applyNumberFormat="1" applyFont="1" applyBorder="1" applyAlignment="1">
      <alignment horizontal="right" vertical="center"/>
    </xf>
    <xf numFmtId="164" fontId="65" fillId="0" borderId="2" xfId="4495" applyNumberFormat="1" applyFont="1" applyBorder="1" applyAlignment="1">
      <alignment horizontal="right" vertical="center"/>
    </xf>
    <xf numFmtId="164" fontId="65" fillId="0" borderId="7" xfId="4495" applyNumberFormat="1" applyFont="1" applyBorder="1" applyAlignment="1">
      <alignment horizontal="right" vertical="center"/>
    </xf>
    <xf numFmtId="164" fontId="65" fillId="0" borderId="9" xfId="4495" applyNumberFormat="1" applyFont="1" applyBorder="1" applyAlignment="1">
      <alignment horizontal="right" vertical="center"/>
    </xf>
    <xf numFmtId="164" fontId="65" fillId="0" borderId="6" xfId="4495" applyNumberFormat="1" applyFont="1" applyBorder="1" applyAlignment="1">
      <alignment horizontal="right" vertical="center"/>
    </xf>
    <xf numFmtId="164" fontId="65" fillId="0" borderId="10" xfId="4495" applyNumberFormat="1" applyFont="1" applyBorder="1" applyAlignment="1">
      <alignment horizontal="right" vertical="center"/>
    </xf>
    <xf numFmtId="180" fontId="65" fillId="0" borderId="1" xfId="4495" applyNumberFormat="1" applyFont="1" applyBorder="1" applyAlignment="1">
      <alignment horizontal="center" vertical="center"/>
    </xf>
    <xf numFmtId="180" fontId="65" fillId="0" borderId="2" xfId="4495" applyNumberFormat="1" applyFont="1" applyBorder="1" applyAlignment="1">
      <alignment horizontal="center" vertical="center"/>
    </xf>
    <xf numFmtId="180" fontId="65" fillId="0" borderId="7" xfId="4495" applyNumberFormat="1" applyFont="1" applyBorder="1" applyAlignment="1">
      <alignment horizontal="center" vertical="center"/>
    </xf>
    <xf numFmtId="180" fontId="65" fillId="0" borderId="9" xfId="4495" applyNumberFormat="1" applyFont="1" applyBorder="1" applyAlignment="1">
      <alignment horizontal="center" vertical="center"/>
    </xf>
    <xf numFmtId="180" fontId="65" fillId="0" borderId="6" xfId="4495" applyNumberFormat="1" applyFont="1" applyBorder="1" applyAlignment="1">
      <alignment horizontal="center" vertical="center"/>
    </xf>
    <xf numFmtId="180" fontId="65" fillId="0" borderId="10" xfId="4495" applyNumberFormat="1" applyFont="1" applyBorder="1" applyAlignment="1">
      <alignment horizontal="center" vertical="center"/>
    </xf>
    <xf numFmtId="0" fontId="18" fillId="0" borderId="6" xfId="1192" applyBorder="1" applyAlignment="1">
      <alignment horizontal="right"/>
    </xf>
    <xf numFmtId="0" fontId="123" fillId="0" borderId="50" xfId="4496" applyFont="1" applyBorder="1" applyAlignment="1">
      <alignment horizontal="left" wrapText="1"/>
    </xf>
    <xf numFmtId="0" fontId="123" fillId="0" borderId="51" xfId="4496" applyFont="1" applyBorder="1" applyAlignment="1">
      <alignment horizontal="left" wrapText="1"/>
    </xf>
    <xf numFmtId="0" fontId="123" fillId="0" borderId="52" xfId="4496" applyFont="1" applyBorder="1" applyAlignment="1">
      <alignment horizontal="left" wrapText="1"/>
    </xf>
    <xf numFmtId="0" fontId="123" fillId="0" borderId="57" xfId="4496" applyFont="1" applyBorder="1" applyAlignment="1">
      <alignment horizontal="left" wrapText="1"/>
    </xf>
    <xf numFmtId="0" fontId="123" fillId="0" borderId="58" xfId="4496" applyFont="1" applyBorder="1" applyAlignment="1">
      <alignment horizontal="left" wrapText="1"/>
    </xf>
    <xf numFmtId="0" fontId="123" fillId="0" borderId="59" xfId="4496" applyFont="1" applyBorder="1" applyAlignment="1">
      <alignment horizontal="left" wrapText="1"/>
    </xf>
    <xf numFmtId="0" fontId="121" fillId="0" borderId="53" xfId="4495" applyBorder="1" applyAlignment="1">
      <alignment horizontal="center"/>
    </xf>
    <xf numFmtId="0" fontId="121" fillId="0" borderId="0" xfId="4495" applyAlignment="1">
      <alignment horizontal="center"/>
    </xf>
    <xf numFmtId="0" fontId="26" fillId="5" borderId="0" xfId="4495" applyFont="1" applyFill="1" applyAlignment="1">
      <alignment horizontal="left" vertical="top"/>
    </xf>
    <xf numFmtId="168" fontId="18" fillId="0" borderId="6" xfId="1192" applyNumberFormat="1" applyBorder="1" applyAlignment="1">
      <alignment horizontal="right"/>
    </xf>
    <xf numFmtId="0" fontId="119" fillId="0" borderId="4" xfId="1192" applyFont="1" applyBorder="1" applyAlignment="1">
      <alignment horizontal="left"/>
    </xf>
    <xf numFmtId="168" fontId="18" fillId="43" borderId="6" xfId="543" applyNumberFormat="1" applyFill="1" applyBorder="1" applyAlignment="1" applyProtection="1">
      <alignment horizontal="center"/>
      <protection locked="0"/>
    </xf>
    <xf numFmtId="168" fontId="18" fillId="43" borderId="6" xfId="1192" applyNumberFormat="1" applyFill="1" applyBorder="1" applyAlignment="1" applyProtection="1">
      <alignment horizontal="right"/>
      <protection locked="0"/>
    </xf>
    <xf numFmtId="0" fontId="26" fillId="5" borderId="58" xfId="4495" applyFont="1" applyFill="1" applyBorder="1" applyAlignment="1">
      <alignment horizontal="left"/>
    </xf>
    <xf numFmtId="0" fontId="54" fillId="0" borderId="51" xfId="4495" applyFont="1" applyBorder="1" applyAlignment="1">
      <alignment horizontal="left" vertical="top" wrapText="1"/>
    </xf>
    <xf numFmtId="0" fontId="54" fillId="0" borderId="0" xfId="4495" applyFont="1" applyAlignment="1">
      <alignment horizontal="left" vertical="top" wrapText="1"/>
    </xf>
    <xf numFmtId="9" fontId="26" fillId="5" borderId="58" xfId="4495" applyNumberFormat="1" applyFont="1" applyFill="1" applyBorder="1" applyAlignment="1">
      <alignment horizontal="left"/>
    </xf>
    <xf numFmtId="9" fontId="26" fillId="5" borderId="6" xfId="4495" applyNumberFormat="1" applyFont="1" applyFill="1" applyBorder="1" applyAlignment="1">
      <alignment horizontal="left"/>
    </xf>
    <xf numFmtId="0" fontId="26" fillId="5" borderId="6" xfId="4495" applyFont="1" applyFill="1" applyBorder="1" applyAlignment="1">
      <alignment horizontal="left"/>
    </xf>
    <xf numFmtId="0" fontId="121" fillId="5" borderId="62" xfId="4495" applyFill="1" applyBorder="1" applyAlignment="1">
      <alignment horizontal="center"/>
    </xf>
    <xf numFmtId="0" fontId="121" fillId="5" borderId="63" xfId="4495" applyFill="1" applyBorder="1" applyAlignment="1">
      <alignment horizontal="center"/>
    </xf>
    <xf numFmtId="10" fontId="26" fillId="0" borderId="2" xfId="4495" applyNumberFormat="1" applyFont="1" applyBorder="1" applyAlignment="1">
      <alignment horizontal="center"/>
    </xf>
    <xf numFmtId="4" fontId="26" fillId="0" borderId="0" xfId="4495" applyNumberFormat="1" applyFont="1" applyAlignment="1">
      <alignment horizontal="center"/>
    </xf>
    <xf numFmtId="0" fontId="34" fillId="42" borderId="2" xfId="4495" applyFont="1" applyFill="1" applyBorder="1" applyAlignment="1">
      <alignment horizontal="center"/>
    </xf>
    <xf numFmtId="0" fontId="34" fillId="42" borderId="6" xfId="4495" applyFont="1" applyFill="1" applyBorder="1" applyAlignment="1">
      <alignment horizontal="center"/>
    </xf>
    <xf numFmtId="4" fontId="26" fillId="0" borderId="6" xfId="4495" applyNumberFormat="1" applyFont="1" applyBorder="1" applyAlignment="1">
      <alignment horizontal="center"/>
    </xf>
    <xf numFmtId="168" fontId="18" fillId="0" borderId="4" xfId="1192" applyNumberFormat="1" applyBorder="1" applyAlignment="1">
      <alignment horizontal="right"/>
    </xf>
    <xf numFmtId="168" fontId="18" fillId="0" borderId="4" xfId="4496" applyNumberFormat="1" applyFont="1" applyBorder="1" applyAlignment="1">
      <alignment horizontal="center"/>
    </xf>
    <xf numFmtId="9" fontId="18" fillId="0" borderId="4" xfId="4496" applyNumberFormat="1" applyFont="1" applyBorder="1" applyAlignment="1">
      <alignment horizontal="center"/>
    </xf>
    <xf numFmtId="0" fontId="25" fillId="0" borderId="0" xfId="4495" applyFont="1" applyAlignment="1">
      <alignment horizontal="left" wrapText="1"/>
    </xf>
    <xf numFmtId="164" fontId="18" fillId="0" borderId="50" xfId="4495" applyNumberFormat="1" applyFont="1" applyBorder="1" applyAlignment="1">
      <alignment horizontal="left" vertical="top" wrapText="1"/>
    </xf>
    <xf numFmtId="164" fontId="18" fillId="0" borderId="51" xfId="4495" applyNumberFormat="1" applyFont="1" applyBorder="1" applyAlignment="1">
      <alignment horizontal="left" vertical="top" wrapText="1"/>
    </xf>
    <xf numFmtId="164" fontId="18" fillId="0" borderId="52" xfId="4495" applyNumberFormat="1" applyFont="1" applyBorder="1" applyAlignment="1">
      <alignment horizontal="left" vertical="top" wrapText="1"/>
    </xf>
    <xf numFmtId="164" fontId="18" fillId="0" borderId="53" xfId="4495" applyNumberFormat="1" applyFont="1" applyBorder="1" applyAlignment="1">
      <alignment horizontal="left" vertical="top" wrapText="1"/>
    </xf>
    <xf numFmtId="164" fontId="18" fillId="0" borderId="0" xfId="4495" applyNumberFormat="1" applyFont="1" applyAlignment="1">
      <alignment horizontal="left" vertical="top" wrapText="1"/>
    </xf>
    <xf numFmtId="164" fontId="18" fillId="0" borderId="54" xfId="4495" applyNumberFormat="1" applyFont="1" applyBorder="1" applyAlignment="1">
      <alignment horizontal="left" vertical="top" wrapText="1"/>
    </xf>
    <xf numFmtId="164" fontId="18" fillId="0" borderId="57" xfId="4495" applyNumberFormat="1" applyFont="1" applyBorder="1" applyAlignment="1">
      <alignment horizontal="left" vertical="top" wrapText="1"/>
    </xf>
    <xf numFmtId="164" fontId="18" fillId="0" borderId="58" xfId="4495" applyNumberFormat="1" applyFont="1" applyBorder="1" applyAlignment="1">
      <alignment horizontal="left" vertical="top" wrapText="1"/>
    </xf>
    <xf numFmtId="164" fontId="18" fillId="0" borderId="59" xfId="4495" applyNumberFormat="1" applyFont="1" applyBorder="1" applyAlignment="1">
      <alignment horizontal="left" vertical="top" wrapText="1"/>
    </xf>
    <xf numFmtId="4" fontId="26" fillId="0" borderId="3" xfId="4495" applyNumberFormat="1" applyFont="1" applyBorder="1" applyAlignment="1">
      <alignment horizontal="center"/>
    </xf>
    <xf numFmtId="4" fontId="26" fillId="0" borderId="4" xfId="4495" applyNumberFormat="1" applyFont="1" applyBorder="1" applyAlignment="1">
      <alignment horizontal="center"/>
    </xf>
    <xf numFmtId="4" fontId="26" fillId="0" borderId="5" xfId="4495" applyNumberFormat="1" applyFont="1" applyBorder="1" applyAlignment="1">
      <alignment horizontal="center"/>
    </xf>
    <xf numFmtId="165" fontId="123" fillId="0" borderId="3" xfId="4496" applyNumberFormat="1" applyFont="1" applyBorder="1" applyAlignment="1">
      <alignment horizontal="center" vertical="top" wrapText="1"/>
    </xf>
    <xf numFmtId="165" fontId="123" fillId="0" borderId="5" xfId="4496" applyNumberFormat="1" applyFont="1" applyBorder="1" applyAlignment="1">
      <alignment horizontal="center" vertical="top" wrapText="1"/>
    </xf>
    <xf numFmtId="3" fontId="18" fillId="43" borderId="6" xfId="1192" applyNumberFormat="1" applyFill="1" applyBorder="1" applyAlignment="1" applyProtection="1">
      <alignment horizontal="right"/>
      <protection locked="0"/>
    </xf>
    <xf numFmtId="0" fontId="143" fillId="0" borderId="0" xfId="1192" applyFont="1" applyAlignment="1">
      <alignment horizontal="center"/>
    </xf>
    <xf numFmtId="0" fontId="99" fillId="0" borderId="69" xfId="4496" applyFont="1" applyBorder="1" applyAlignment="1">
      <alignment horizontal="right"/>
    </xf>
    <xf numFmtId="0" fontId="99" fillId="0" borderId="70" xfId="4496" applyFont="1" applyBorder="1" applyAlignment="1">
      <alignment horizontal="right"/>
    </xf>
    <xf numFmtId="0" fontId="99" fillId="0" borderId="11" xfId="4496" applyFont="1" applyBorder="1"/>
    <xf numFmtId="0" fontId="99" fillId="0" borderId="76" xfId="4496" applyFont="1" applyBorder="1"/>
    <xf numFmtId="0" fontId="99" fillId="0" borderId="70" xfId="4496" applyFont="1" applyBorder="1"/>
    <xf numFmtId="0" fontId="99" fillId="0" borderId="77" xfId="4496" applyFont="1" applyBorder="1"/>
    <xf numFmtId="0" fontId="99" fillId="0" borderId="68" xfId="4496" applyFont="1" applyBorder="1"/>
    <xf numFmtId="0" fontId="99" fillId="0" borderId="71" xfId="4496" applyFont="1" applyBorder="1"/>
    <xf numFmtId="0" fontId="99" fillId="0" borderId="67" xfId="4496" applyFont="1" applyBorder="1" applyAlignment="1">
      <alignment horizontal="right"/>
    </xf>
    <xf numFmtId="0" fontId="99" fillId="0" borderId="68" xfId="4496" applyFont="1" applyBorder="1" applyAlignment="1">
      <alignment horizontal="right"/>
    </xf>
    <xf numFmtId="0" fontId="99" fillId="0" borderId="0" xfId="4496" applyFont="1" applyAlignment="1">
      <alignment horizontal="left" wrapText="1" indent="1"/>
    </xf>
    <xf numFmtId="49" fontId="137" fillId="3" borderId="0" xfId="1192" applyNumberFormat="1" applyFont="1" applyFill="1" applyAlignment="1">
      <alignment horizontal="center" vertical="center"/>
    </xf>
    <xf numFmtId="0" fontId="99" fillId="0" borderId="11" xfId="4496" applyFont="1" applyBorder="1" applyAlignment="1">
      <alignment horizontal="left" indent="1"/>
    </xf>
    <xf numFmtId="0" fontId="99" fillId="0" borderId="11" xfId="4496" applyFont="1" applyBorder="1" applyAlignment="1">
      <alignment horizontal="left" indent="2"/>
    </xf>
    <xf numFmtId="0" fontId="138" fillId="45" borderId="3" xfId="4496" applyFont="1" applyFill="1" applyBorder="1" applyAlignment="1">
      <alignment horizontal="center" vertical="center"/>
    </xf>
    <xf numFmtId="0" fontId="138" fillId="45" borderId="4" xfId="4496" applyFont="1" applyFill="1" applyBorder="1" applyAlignment="1">
      <alignment horizontal="center" vertical="center"/>
    </xf>
    <xf numFmtId="0" fontId="138" fillId="45" borderId="5" xfId="4496" applyFont="1" applyFill="1" applyBorder="1" applyAlignment="1">
      <alignment horizontal="center" vertical="center"/>
    </xf>
    <xf numFmtId="9" fontId="138" fillId="45" borderId="3" xfId="4499" applyFont="1" applyFill="1" applyBorder="1" applyAlignment="1" applyProtection="1">
      <alignment horizontal="center" vertical="center"/>
    </xf>
    <xf numFmtId="9" fontId="138" fillId="45" borderId="4" xfId="4499" applyFont="1" applyFill="1" applyBorder="1" applyAlignment="1" applyProtection="1">
      <alignment horizontal="center" vertical="center"/>
    </xf>
    <xf numFmtId="9" fontId="138" fillId="45" borderId="5" xfId="4499" applyFont="1" applyFill="1" applyBorder="1" applyAlignment="1" applyProtection="1">
      <alignment horizontal="center" vertical="center"/>
    </xf>
    <xf numFmtId="168" fontId="99" fillId="0" borderId="11" xfId="4499" applyNumberFormat="1" applyFont="1" applyFill="1" applyBorder="1" applyAlignment="1" applyProtection="1">
      <alignment horizontal="left" vertical="center" indent="1"/>
    </xf>
    <xf numFmtId="49" fontId="99" fillId="45" borderId="15" xfId="4496" applyNumberFormat="1" applyFont="1" applyFill="1" applyBorder="1" applyAlignment="1">
      <alignment horizontal="center" vertical="center" wrapText="1"/>
    </xf>
    <xf numFmtId="49" fontId="99" fillId="45" borderId="13" xfId="4496" applyNumberFormat="1" applyFont="1" applyFill="1" applyBorder="1" applyAlignment="1">
      <alignment horizontal="center" vertical="center" wrapText="1"/>
    </xf>
    <xf numFmtId="0" fontId="138" fillId="0" borderId="68" xfId="4496" applyFont="1" applyBorder="1" applyAlignment="1">
      <alignment horizontal="left" indent="1"/>
    </xf>
    <xf numFmtId="168" fontId="99" fillId="0" borderId="70" xfId="4499" applyNumberFormat="1" applyFont="1" applyFill="1" applyBorder="1" applyAlignment="1" applyProtection="1">
      <alignment horizontal="left" vertical="center" indent="1"/>
    </xf>
    <xf numFmtId="0" fontId="99" fillId="0" borderId="72" xfId="4496" applyFont="1" applyBorder="1" applyAlignment="1">
      <alignment horizontal="right"/>
    </xf>
    <xf numFmtId="0" fontId="99" fillId="0" borderId="11" xfId="4496" applyFont="1" applyBorder="1" applyAlignment="1">
      <alignment horizontal="right"/>
    </xf>
    <xf numFmtId="168" fontId="99" fillId="0" borderId="13" xfId="4499" applyNumberFormat="1" applyFont="1" applyFill="1" applyBorder="1" applyAlignment="1" applyProtection="1">
      <alignment horizontal="left" vertical="center" indent="1"/>
    </xf>
    <xf numFmtId="0" fontId="99" fillId="0" borderId="3" xfId="4496" applyFont="1" applyBorder="1" applyAlignment="1">
      <alignment horizontal="left" indent="1"/>
    </xf>
    <xf numFmtId="0" fontId="99" fillId="0" borderId="4" xfId="4496" applyFont="1" applyBorder="1" applyAlignment="1">
      <alignment horizontal="left" indent="1"/>
    </xf>
    <xf numFmtId="0" fontId="99" fillId="0" borderId="5" xfId="4496" applyFont="1" applyBorder="1" applyAlignment="1">
      <alignment horizontal="left" indent="1"/>
    </xf>
    <xf numFmtId="0" fontId="99" fillId="0" borderId="3" xfId="4496" applyFont="1" applyBorder="1" applyAlignment="1">
      <alignment horizontal="left" indent="2"/>
    </xf>
    <xf numFmtId="0" fontId="99" fillId="0" borderId="4" xfId="4496" applyFont="1" applyBorder="1" applyAlignment="1">
      <alignment horizontal="left" indent="2"/>
    </xf>
    <xf numFmtId="0" fontId="99" fillId="0" borderId="5" xfId="4496" applyFont="1" applyBorder="1" applyAlignment="1">
      <alignment horizontal="left" indent="2"/>
    </xf>
    <xf numFmtId="0" fontId="99" fillId="0" borderId="0" xfId="4496" applyFont="1" applyAlignment="1">
      <alignment wrapText="1"/>
    </xf>
    <xf numFmtId="0" fontId="138" fillId="0" borderId="75" xfId="4496" applyFont="1" applyBorder="1" applyAlignment="1">
      <alignment horizontal="center" vertical="top" wrapText="1"/>
    </xf>
    <xf numFmtId="0" fontId="138" fillId="0" borderId="74" xfId="4496" applyFont="1" applyBorder="1" applyAlignment="1">
      <alignment horizontal="center" vertical="top" wrapText="1"/>
    </xf>
    <xf numFmtId="0" fontId="99" fillId="0" borderId="0" xfId="4496" applyFont="1" applyAlignment="1">
      <alignment horizontal="left" wrapText="1"/>
    </xf>
    <xf numFmtId="0" fontId="99" fillId="0" borderId="0" xfId="4496" applyFont="1" applyAlignment="1">
      <alignment horizontal="center" vertical="center" wrapText="1"/>
    </xf>
    <xf numFmtId="0" fontId="99" fillId="43" borderId="0" xfId="4496" applyFont="1" applyFill="1" applyAlignment="1" applyProtection="1">
      <alignment horizontal="left" vertical="top" wrapText="1"/>
      <protection locked="0"/>
    </xf>
    <xf numFmtId="0" fontId="99" fillId="43" borderId="6" xfId="4496" applyFont="1" applyFill="1" applyBorder="1" applyAlignment="1" applyProtection="1">
      <alignment horizontal="left" vertical="top" wrapText="1"/>
      <protection locked="0"/>
    </xf>
    <xf numFmtId="0" fontId="23" fillId="0" borderId="6" xfId="271" applyFont="1" applyBorder="1" applyAlignment="1">
      <alignment horizontal="center"/>
    </xf>
    <xf numFmtId="0" fontId="23" fillId="0" borderId="0" xfId="0" applyFont="1" applyAlignment="1" applyProtection="1">
      <alignment wrapText="1"/>
      <protection locked="0"/>
    </xf>
    <xf numFmtId="3" fontId="18" fillId="0" borderId="0" xfId="0" applyNumberFormat="1" applyFont="1" applyAlignment="1">
      <alignment horizontal="left" vertical="top" wrapText="1"/>
    </xf>
    <xf numFmtId="3" fontId="27" fillId="0" borderId="0" xfId="0" applyNumberFormat="1" applyFont="1" applyAlignment="1">
      <alignment horizontal="left" vertical="top" wrapText="1"/>
    </xf>
    <xf numFmtId="0" fontId="18" fillId="43" borderId="0" xfId="0" applyFont="1" applyFill="1" applyAlignment="1">
      <alignment horizontal="left"/>
    </xf>
  </cellXfs>
  <cellStyles count="25631">
    <cellStyle name="20% - Accent1" xfId="1" builtinId="30" customBuiltin="1"/>
    <cellStyle name="20% - Accent1 10" xfId="4504" xr:uid="{00000000-0005-0000-0000-000001000000}"/>
    <cellStyle name="20% - Accent1 10 2" xfId="12954" xr:uid="{DA3FCAC0-4720-49C8-9D5B-DE6DB8D899E0}"/>
    <cellStyle name="20% - Accent1 10 3" xfId="21401" xr:uid="{26CCD411-17FB-4966-AD91-64F716F4A6B1}"/>
    <cellStyle name="20% - Accent1 11" xfId="8736" xr:uid="{87A93195-1841-4D3B-89CB-9BB65AD3F7D8}"/>
    <cellStyle name="20% - Accent1 12" xfId="17184" xr:uid="{8BD8F536-4343-4973-81E0-E030178D85EE}"/>
    <cellStyle name="20% - Accent1 2" xfId="2" xr:uid="{00000000-0005-0000-0000-000002000000}"/>
    <cellStyle name="20% - Accent1 2 10" xfId="8737" xr:uid="{0F974B1D-8372-4512-A862-DA6899971D54}"/>
    <cellStyle name="20% - Accent1 2 11" xfId="17185" xr:uid="{65155AAC-2FB7-4EDE-A67B-E564D376DCF5}"/>
    <cellStyle name="20% - Accent1 2 2" xfId="3" xr:uid="{00000000-0005-0000-0000-000003000000}"/>
    <cellStyle name="20% - Accent1 2 2 10" xfId="17186" xr:uid="{73C065BC-5C4A-4D1F-9921-1AA39D9A022D}"/>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2 2 2" xfId="15516" xr:uid="{25FE0521-3332-45A2-9776-E9EEFBF48B30}"/>
    <cellStyle name="20% - Accent1 2 2 2 2 2 2 3" xfId="23963" xr:uid="{6D161C2A-1C19-49A6-9D30-670A2512C3DB}"/>
    <cellStyle name="20% - Accent1 2 2 2 2 2 3" xfId="11298" xr:uid="{C3179818-02F0-4D86-AA8C-89381FC208FD}"/>
    <cellStyle name="20% - Accent1 2 2 2 2 2 4" xfId="19746" xr:uid="{C825925C-E7BF-41C1-A504-6E0C6949A699}"/>
    <cellStyle name="20% - Accent1 2 2 2 2 3" xfId="4921" xr:uid="{00000000-0005-0000-0000-000008000000}"/>
    <cellStyle name="20% - Accent1 2 2 2 2 3 2" xfId="13371" xr:uid="{645FCF86-1492-44E3-83BF-8AAE96650BAA}"/>
    <cellStyle name="20% - Accent1 2 2 2 2 3 3" xfId="21818" xr:uid="{61292621-D5C5-48EF-ABBC-54324ECC8FA1}"/>
    <cellStyle name="20% - Accent1 2 2 2 2 4" xfId="9153" xr:uid="{6203E9A3-2127-40B0-B740-93D7B5A113C0}"/>
    <cellStyle name="20% - Accent1 2 2 2 2 5" xfId="17601" xr:uid="{977F6EE1-C610-49D9-9D3E-138FC7C54849}"/>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2 2 2" xfId="15929" xr:uid="{E5F26854-4A99-4AAC-8FB0-670FFA1FB517}"/>
    <cellStyle name="20% - Accent1 2 2 2 3 2 2 3" xfId="24376" xr:uid="{7C86FF81-8FBA-41FD-88B5-49B9F9BEAB13}"/>
    <cellStyle name="20% - Accent1 2 2 2 3 2 3" xfId="11711" xr:uid="{91E1ABDC-9B3A-4867-8EF8-E1933A1DAA6C}"/>
    <cellStyle name="20% - Accent1 2 2 2 3 2 4" xfId="20159" xr:uid="{BA6790C9-EAE8-4F26-8FDE-C37F655ECDC3}"/>
    <cellStyle name="20% - Accent1 2 2 2 3 3" xfId="5334" xr:uid="{00000000-0005-0000-0000-00000C000000}"/>
    <cellStyle name="20% - Accent1 2 2 2 3 3 2" xfId="13784" xr:uid="{A6741E22-24C9-4ABF-9BD6-9DFBEB014542}"/>
    <cellStyle name="20% - Accent1 2 2 2 3 3 3" xfId="22231" xr:uid="{DEB1E669-FB31-44E1-82CF-CDEB1121160A}"/>
    <cellStyle name="20% - Accent1 2 2 2 3 4" xfId="9566" xr:uid="{1C55D619-87D2-4A76-A775-695F47B24C58}"/>
    <cellStyle name="20% - Accent1 2 2 2 3 5" xfId="18014" xr:uid="{A77D38F5-1769-4AFF-80B3-9CBC46EC9194}"/>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2 2 2" xfId="16342" xr:uid="{685DBB08-9040-4C4D-84B0-C67EA8EE0EC9}"/>
    <cellStyle name="20% - Accent1 2 2 2 4 2 2 3" xfId="24789" xr:uid="{65F7C30C-8F79-4D26-841A-F48223410BAF}"/>
    <cellStyle name="20% - Accent1 2 2 2 4 2 3" xfId="12124" xr:uid="{4238D167-93B9-41DE-8E41-C1068CDD80AC}"/>
    <cellStyle name="20% - Accent1 2 2 2 4 2 4" xfId="20572" xr:uid="{F5776A11-C81A-4E51-982E-100EDCA86AAA}"/>
    <cellStyle name="20% - Accent1 2 2 2 4 3" xfId="5747" xr:uid="{00000000-0005-0000-0000-000010000000}"/>
    <cellStyle name="20% - Accent1 2 2 2 4 3 2" xfId="14197" xr:uid="{A0FB83BC-6855-4960-A6B3-2818F9613429}"/>
    <cellStyle name="20% - Accent1 2 2 2 4 3 3" xfId="22644" xr:uid="{37989C47-554A-4DEA-8269-7DFA6A8331EC}"/>
    <cellStyle name="20% - Accent1 2 2 2 4 4" xfId="9979" xr:uid="{981E3AD4-FF69-4703-B2C4-4FC5828A2680}"/>
    <cellStyle name="20% - Accent1 2 2 2 4 5" xfId="18427" xr:uid="{7591FB4A-6634-4836-8A32-5575DB908165}"/>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2 2 2" xfId="16755" xr:uid="{C3F0ABB9-E6A7-4193-B77A-6683039BD7FE}"/>
    <cellStyle name="20% - Accent1 2 2 2 5 2 2 3" xfId="25202" xr:uid="{DB41B627-D2ED-4BD9-9409-C98AEE9B5B2D}"/>
    <cellStyle name="20% - Accent1 2 2 2 5 2 3" xfId="12537" xr:uid="{A6198B59-DEDF-4215-8019-B47043775E64}"/>
    <cellStyle name="20% - Accent1 2 2 2 5 2 4" xfId="20985" xr:uid="{1EFA6CF2-46E8-4E8B-BC60-DA18449C0B9A}"/>
    <cellStyle name="20% - Accent1 2 2 2 5 3" xfId="6160" xr:uid="{00000000-0005-0000-0000-000014000000}"/>
    <cellStyle name="20% - Accent1 2 2 2 5 3 2" xfId="14610" xr:uid="{3680ABFC-1408-4704-9F0D-C057757747E1}"/>
    <cellStyle name="20% - Accent1 2 2 2 5 3 3" xfId="23057" xr:uid="{D305ED3F-786F-4B48-9DB4-7B57A7B44C00}"/>
    <cellStyle name="20% - Accent1 2 2 2 5 4" xfId="10392" xr:uid="{80DBCA00-809C-433A-BCF1-54666F79560A}"/>
    <cellStyle name="20% - Accent1 2 2 2 5 5" xfId="18840" xr:uid="{1F800E94-990B-4CA3-882A-53EA3BEF2E25}"/>
    <cellStyle name="20% - Accent1 2 2 2 6" xfId="2267" xr:uid="{00000000-0005-0000-0000-000015000000}"/>
    <cellStyle name="20% - Accent1 2 2 2 6 2" xfId="6573" xr:uid="{00000000-0005-0000-0000-000016000000}"/>
    <cellStyle name="20% - Accent1 2 2 2 6 2 2" xfId="15023" xr:uid="{44260B28-C18B-45D1-A9C7-82121C99F6F1}"/>
    <cellStyle name="20% - Accent1 2 2 2 6 2 3" xfId="23470" xr:uid="{C887634A-8D5D-443F-9322-45858A4F4A4D}"/>
    <cellStyle name="20% - Accent1 2 2 2 6 3" xfId="10805" xr:uid="{0B83B8E7-2F36-4651-8CAE-2983CBD43219}"/>
    <cellStyle name="20% - Accent1 2 2 2 6 4" xfId="19253" xr:uid="{603BF06B-F7AD-46EC-9BAF-4FB5F0BFBFE1}"/>
    <cellStyle name="20% - Accent1 2 2 2 7" xfId="4507" xr:uid="{00000000-0005-0000-0000-000017000000}"/>
    <cellStyle name="20% - Accent1 2 2 2 7 2" xfId="12957" xr:uid="{0854BD3F-5FE9-4FA1-AD9A-3F1BDF4E321E}"/>
    <cellStyle name="20% - Accent1 2 2 2 7 3" xfId="21404" xr:uid="{3D8950CC-42F5-4497-A292-68D88360504A}"/>
    <cellStyle name="20% - Accent1 2 2 2 8" xfId="8739" xr:uid="{C7379556-54EF-4EBE-A498-C502A1164CA6}"/>
    <cellStyle name="20% - Accent1 2 2 2 9" xfId="17187" xr:uid="{A65F944F-47C9-434B-AA65-E76A830EA908}"/>
    <cellStyle name="20% - Accent1 2 2 3" xfId="572" xr:uid="{00000000-0005-0000-0000-000018000000}"/>
    <cellStyle name="20% - Accent1 2 2 3 2" xfId="2843" xr:uid="{00000000-0005-0000-0000-000019000000}"/>
    <cellStyle name="20% - Accent1 2 2 3 2 2" xfId="7065" xr:uid="{00000000-0005-0000-0000-00001A000000}"/>
    <cellStyle name="20% - Accent1 2 2 3 2 2 2" xfId="15515" xr:uid="{F5A81426-9713-410F-88DB-1B84ADADE3ED}"/>
    <cellStyle name="20% - Accent1 2 2 3 2 2 3" xfId="23962" xr:uid="{E8CDB6D8-58D4-4BE0-85C5-4FED8CAC706F}"/>
    <cellStyle name="20% - Accent1 2 2 3 2 3" xfId="11297" xr:uid="{089EBCE5-93A4-40B6-9C98-75A9F5D55195}"/>
    <cellStyle name="20% - Accent1 2 2 3 2 4" xfId="19745" xr:uid="{58F18CE0-D1F1-45FD-A8C9-B7C3B46F2D6D}"/>
    <cellStyle name="20% - Accent1 2 2 3 3" xfId="4920" xr:uid="{00000000-0005-0000-0000-00001B000000}"/>
    <cellStyle name="20% - Accent1 2 2 3 3 2" xfId="13370" xr:uid="{A6107474-88D3-4F9C-9469-2BDD163F54C1}"/>
    <cellStyle name="20% - Accent1 2 2 3 3 3" xfId="21817" xr:uid="{28B7F55F-BC9E-474A-8EF6-4C46ADC95AEA}"/>
    <cellStyle name="20% - Accent1 2 2 3 4" xfId="9152" xr:uid="{B9FF0370-F6EE-485A-B7BF-A6F61943978D}"/>
    <cellStyle name="20% - Accent1 2 2 3 5" xfId="17600" xr:uid="{B00BD0A1-1714-4728-B13F-7236758A16DF}"/>
    <cellStyle name="20% - Accent1 2 2 4" xfId="1025" xr:uid="{00000000-0005-0000-0000-00001C000000}"/>
    <cellStyle name="20% - Accent1 2 2 4 2" xfId="3256" xr:uid="{00000000-0005-0000-0000-00001D000000}"/>
    <cellStyle name="20% - Accent1 2 2 4 2 2" xfId="7478" xr:uid="{00000000-0005-0000-0000-00001E000000}"/>
    <cellStyle name="20% - Accent1 2 2 4 2 2 2" xfId="15928" xr:uid="{B249203F-9D42-45F8-83FA-AD80D18B0084}"/>
    <cellStyle name="20% - Accent1 2 2 4 2 2 3" xfId="24375" xr:uid="{0FEEE98F-7211-4906-99D8-9F9E5957B8F6}"/>
    <cellStyle name="20% - Accent1 2 2 4 2 3" xfId="11710" xr:uid="{3B5E2BF2-899F-45A8-BE00-E6500AF616B1}"/>
    <cellStyle name="20% - Accent1 2 2 4 2 4" xfId="20158" xr:uid="{4D2C7361-64FB-4CB5-9ABC-352A7CF45C6A}"/>
    <cellStyle name="20% - Accent1 2 2 4 3" xfId="5333" xr:uid="{00000000-0005-0000-0000-00001F000000}"/>
    <cellStyle name="20% - Accent1 2 2 4 3 2" xfId="13783" xr:uid="{908D1689-69AA-4E6D-BCC4-28AB37DB6CE0}"/>
    <cellStyle name="20% - Accent1 2 2 4 3 3" xfId="22230" xr:uid="{22E0465B-EC7B-4078-B843-E9D34DD01267}"/>
    <cellStyle name="20% - Accent1 2 2 4 4" xfId="9565" xr:uid="{8839318D-7F98-40BE-A40D-1F6583471AAA}"/>
    <cellStyle name="20% - Accent1 2 2 4 5" xfId="18013" xr:uid="{AEAE0394-0917-460A-ABA6-234A55B45C0F}"/>
    <cellStyle name="20% - Accent1 2 2 5" xfId="1439" xr:uid="{00000000-0005-0000-0000-000020000000}"/>
    <cellStyle name="20% - Accent1 2 2 5 2" xfId="3669" xr:uid="{00000000-0005-0000-0000-000021000000}"/>
    <cellStyle name="20% - Accent1 2 2 5 2 2" xfId="7891" xr:uid="{00000000-0005-0000-0000-000022000000}"/>
    <cellStyle name="20% - Accent1 2 2 5 2 2 2" xfId="16341" xr:uid="{D6724D92-B07A-4DAC-BF5B-1AE4AF229CF4}"/>
    <cellStyle name="20% - Accent1 2 2 5 2 2 3" xfId="24788" xr:uid="{50210AAF-B227-44DF-94B0-6734CD61307B}"/>
    <cellStyle name="20% - Accent1 2 2 5 2 3" xfId="12123" xr:uid="{C93AFB7B-1900-4D59-B084-E538C9AB46CF}"/>
    <cellStyle name="20% - Accent1 2 2 5 2 4" xfId="20571" xr:uid="{1C5BB1AC-2E55-4340-A724-1F59DDA76C95}"/>
    <cellStyle name="20% - Accent1 2 2 5 3" xfId="5746" xr:uid="{00000000-0005-0000-0000-000023000000}"/>
    <cellStyle name="20% - Accent1 2 2 5 3 2" xfId="14196" xr:uid="{378BAA7C-D579-46E9-95F2-C36D3650F3B8}"/>
    <cellStyle name="20% - Accent1 2 2 5 3 3" xfId="22643" xr:uid="{7A057B1F-10DD-44B5-A553-C8A3206F1209}"/>
    <cellStyle name="20% - Accent1 2 2 5 4" xfId="9978" xr:uid="{4F0C2B25-35CA-4916-AC6B-41CF98FF0F84}"/>
    <cellStyle name="20% - Accent1 2 2 5 5" xfId="18426" xr:uid="{4AA3AF3B-62DA-430A-8A3F-F7C177948AF6}"/>
    <cellStyle name="20% - Accent1 2 2 6" xfId="1853" xr:uid="{00000000-0005-0000-0000-000024000000}"/>
    <cellStyle name="20% - Accent1 2 2 6 2" xfId="4082" xr:uid="{00000000-0005-0000-0000-000025000000}"/>
    <cellStyle name="20% - Accent1 2 2 6 2 2" xfId="8304" xr:uid="{00000000-0005-0000-0000-000026000000}"/>
    <cellStyle name="20% - Accent1 2 2 6 2 2 2" xfId="16754" xr:uid="{FEE46184-F8ED-400D-80F8-8E9D4769E4E4}"/>
    <cellStyle name="20% - Accent1 2 2 6 2 2 3" xfId="25201" xr:uid="{8C45319A-B1FE-4099-8BB6-50E166655A44}"/>
    <cellStyle name="20% - Accent1 2 2 6 2 3" xfId="12536" xr:uid="{5E65BAE1-6B10-4370-BFA4-3EA5503C6ED5}"/>
    <cellStyle name="20% - Accent1 2 2 6 2 4" xfId="20984" xr:uid="{50A329BD-2C85-40D2-8E41-1A14177C4234}"/>
    <cellStyle name="20% - Accent1 2 2 6 3" xfId="6159" xr:uid="{00000000-0005-0000-0000-000027000000}"/>
    <cellStyle name="20% - Accent1 2 2 6 3 2" xfId="14609" xr:uid="{BCE2EC09-230A-4617-9214-7CD8E72F51F8}"/>
    <cellStyle name="20% - Accent1 2 2 6 3 3" xfId="23056" xr:uid="{ED7F5E63-C4B7-45EF-98EC-647F2F4673F4}"/>
    <cellStyle name="20% - Accent1 2 2 6 4" xfId="10391" xr:uid="{2791E33B-F004-4BC6-9FFE-A56231EBD963}"/>
    <cellStyle name="20% - Accent1 2 2 6 5" xfId="18839" xr:uid="{4FD1FA65-FC54-408E-B1C6-2A37D0715523}"/>
    <cellStyle name="20% - Accent1 2 2 7" xfId="2266" xr:uid="{00000000-0005-0000-0000-000028000000}"/>
    <cellStyle name="20% - Accent1 2 2 7 2" xfId="6572" xr:uid="{00000000-0005-0000-0000-000029000000}"/>
    <cellStyle name="20% - Accent1 2 2 7 2 2" xfId="15022" xr:uid="{8AA51F79-A415-41C5-AC27-2C09717FD1A1}"/>
    <cellStyle name="20% - Accent1 2 2 7 2 3" xfId="23469" xr:uid="{CC35321B-C4A8-40C4-84E0-84ECCC8003EB}"/>
    <cellStyle name="20% - Accent1 2 2 7 3" xfId="10804" xr:uid="{2A24158D-DD28-449C-B0DB-87576FE779AE}"/>
    <cellStyle name="20% - Accent1 2 2 7 4" xfId="19252" xr:uid="{C8A828AD-8A94-4BD5-BE86-E6EDBF9407E1}"/>
    <cellStyle name="20% - Accent1 2 2 8" xfId="4506" xr:uid="{00000000-0005-0000-0000-00002A000000}"/>
    <cellStyle name="20% - Accent1 2 2 8 2" xfId="12956" xr:uid="{AD4172EF-5C4C-48AC-8DD7-02555A1904CD}"/>
    <cellStyle name="20% - Accent1 2 2 8 3" xfId="21403" xr:uid="{AB4DCA67-76BB-421F-9A78-B3CEF8AC82A9}"/>
    <cellStyle name="20% - Accent1 2 2 9" xfId="8738" xr:uid="{D3F60290-37BF-4030-A7AE-4A24B5E1C9FD}"/>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2 2 2" xfId="15517" xr:uid="{23848828-E1E0-4113-99D1-90CFD2B9D6D3}"/>
    <cellStyle name="20% - Accent1 2 3 2 2 2 3" xfId="23964" xr:uid="{335D7D9E-AA30-446C-8DBD-CCFE1273FCB1}"/>
    <cellStyle name="20% - Accent1 2 3 2 2 3" xfId="11299" xr:uid="{9159DA6F-2224-433A-B8F3-3DD7C59BA5C7}"/>
    <cellStyle name="20% - Accent1 2 3 2 2 4" xfId="19747" xr:uid="{9F58EE48-BE40-464C-A2FD-51DA76292E67}"/>
    <cellStyle name="20% - Accent1 2 3 2 3" xfId="4922" xr:uid="{00000000-0005-0000-0000-00002F000000}"/>
    <cellStyle name="20% - Accent1 2 3 2 3 2" xfId="13372" xr:uid="{1DFB85DE-AE99-46C3-B84B-0E3918244EAA}"/>
    <cellStyle name="20% - Accent1 2 3 2 3 3" xfId="21819" xr:uid="{9B50824B-3BB1-412D-A70E-719DB7A1D85D}"/>
    <cellStyle name="20% - Accent1 2 3 2 4" xfId="9154" xr:uid="{B0B98C17-37FC-4BA3-A9E8-E306FCA81550}"/>
    <cellStyle name="20% - Accent1 2 3 2 5" xfId="17602" xr:uid="{D3E3CB56-0771-459E-A57D-FE9CC0962312}"/>
    <cellStyle name="20% - Accent1 2 3 3" xfId="1027" xr:uid="{00000000-0005-0000-0000-000030000000}"/>
    <cellStyle name="20% - Accent1 2 3 3 2" xfId="3258" xr:uid="{00000000-0005-0000-0000-000031000000}"/>
    <cellStyle name="20% - Accent1 2 3 3 2 2" xfId="7480" xr:uid="{00000000-0005-0000-0000-000032000000}"/>
    <cellStyle name="20% - Accent1 2 3 3 2 2 2" xfId="15930" xr:uid="{55190002-E416-4215-B2DE-23E3DC001530}"/>
    <cellStyle name="20% - Accent1 2 3 3 2 2 3" xfId="24377" xr:uid="{F830C003-621B-4F10-851E-A885A766451F}"/>
    <cellStyle name="20% - Accent1 2 3 3 2 3" xfId="11712" xr:uid="{2AF31FCC-E7CE-43ED-B3D1-68D794DB3900}"/>
    <cellStyle name="20% - Accent1 2 3 3 2 4" xfId="20160" xr:uid="{BF939B47-9C5B-4579-B5EC-B5C25C2DA605}"/>
    <cellStyle name="20% - Accent1 2 3 3 3" xfId="5335" xr:uid="{00000000-0005-0000-0000-000033000000}"/>
    <cellStyle name="20% - Accent1 2 3 3 3 2" xfId="13785" xr:uid="{5615A52C-87AC-46E3-9E5B-9A1F61960D34}"/>
    <cellStyle name="20% - Accent1 2 3 3 3 3" xfId="22232" xr:uid="{0E29B8FD-D33B-403A-9E39-308461F363B1}"/>
    <cellStyle name="20% - Accent1 2 3 3 4" xfId="9567" xr:uid="{7609D5CB-24E9-44A9-A2E7-B14F37C63447}"/>
    <cellStyle name="20% - Accent1 2 3 3 5" xfId="18015" xr:uid="{32C7662A-8B22-4687-89B4-47BE7B6DD922}"/>
    <cellStyle name="20% - Accent1 2 3 4" xfId="1441" xr:uid="{00000000-0005-0000-0000-000034000000}"/>
    <cellStyle name="20% - Accent1 2 3 4 2" xfId="3671" xr:uid="{00000000-0005-0000-0000-000035000000}"/>
    <cellStyle name="20% - Accent1 2 3 4 2 2" xfId="7893" xr:uid="{00000000-0005-0000-0000-000036000000}"/>
    <cellStyle name="20% - Accent1 2 3 4 2 2 2" xfId="16343" xr:uid="{FB58BC5B-F835-4438-A9B4-26FA38097DF1}"/>
    <cellStyle name="20% - Accent1 2 3 4 2 2 3" xfId="24790" xr:uid="{11F03230-901B-47D9-A668-FCFB3879E99D}"/>
    <cellStyle name="20% - Accent1 2 3 4 2 3" xfId="12125" xr:uid="{2D02D92B-B853-4CF9-9A49-FC412BF9F1EA}"/>
    <cellStyle name="20% - Accent1 2 3 4 2 4" xfId="20573" xr:uid="{9128AF90-EF99-488A-BBAA-67B0A4923AF3}"/>
    <cellStyle name="20% - Accent1 2 3 4 3" xfId="5748" xr:uid="{00000000-0005-0000-0000-000037000000}"/>
    <cellStyle name="20% - Accent1 2 3 4 3 2" xfId="14198" xr:uid="{E228C611-0F34-4B9F-8F00-81997DD04A9D}"/>
    <cellStyle name="20% - Accent1 2 3 4 3 3" xfId="22645" xr:uid="{A67AE883-5E64-498F-B089-6D02AB13C11B}"/>
    <cellStyle name="20% - Accent1 2 3 4 4" xfId="9980" xr:uid="{FAAB61AE-A856-4460-8456-8D6E86068E4F}"/>
    <cellStyle name="20% - Accent1 2 3 4 5" xfId="18428" xr:uid="{F53032F5-DAA4-48FB-B63F-F7259963B9CA}"/>
    <cellStyle name="20% - Accent1 2 3 5" xfId="1855" xr:uid="{00000000-0005-0000-0000-000038000000}"/>
    <cellStyle name="20% - Accent1 2 3 5 2" xfId="4084" xr:uid="{00000000-0005-0000-0000-000039000000}"/>
    <cellStyle name="20% - Accent1 2 3 5 2 2" xfId="8306" xr:uid="{00000000-0005-0000-0000-00003A000000}"/>
    <cellStyle name="20% - Accent1 2 3 5 2 2 2" xfId="16756" xr:uid="{DAC18233-2F95-4E7E-9117-4A6FF11FFEFF}"/>
    <cellStyle name="20% - Accent1 2 3 5 2 2 3" xfId="25203" xr:uid="{5FA98CA1-1C73-422E-B481-94C63427A5B1}"/>
    <cellStyle name="20% - Accent1 2 3 5 2 3" xfId="12538" xr:uid="{EE24DAE2-D719-46B3-9039-FE267421F261}"/>
    <cellStyle name="20% - Accent1 2 3 5 2 4" xfId="20986" xr:uid="{9F1F7238-1172-4AE2-B399-E04855D7BEEE}"/>
    <cellStyle name="20% - Accent1 2 3 5 3" xfId="6161" xr:uid="{00000000-0005-0000-0000-00003B000000}"/>
    <cellStyle name="20% - Accent1 2 3 5 3 2" xfId="14611" xr:uid="{4B9050B5-9918-4843-B057-388EF9BAFA28}"/>
    <cellStyle name="20% - Accent1 2 3 5 3 3" xfId="23058" xr:uid="{9AA82CA8-38BF-45AD-8570-6E14EC7A18C2}"/>
    <cellStyle name="20% - Accent1 2 3 5 4" xfId="10393" xr:uid="{7B4BED6D-DE8E-44D8-B3DD-AB3B07193FEC}"/>
    <cellStyle name="20% - Accent1 2 3 5 5" xfId="18841" xr:uid="{784A995F-61F7-422A-9676-90E1AEFD195B}"/>
    <cellStyle name="20% - Accent1 2 3 6" xfId="2268" xr:uid="{00000000-0005-0000-0000-00003C000000}"/>
    <cellStyle name="20% - Accent1 2 3 6 2" xfId="6574" xr:uid="{00000000-0005-0000-0000-00003D000000}"/>
    <cellStyle name="20% - Accent1 2 3 6 2 2" xfId="15024" xr:uid="{87E4720F-64CC-4345-9009-BE0366EBD6F0}"/>
    <cellStyle name="20% - Accent1 2 3 6 2 3" xfId="23471" xr:uid="{E781B3AC-CF8E-4023-AA4C-22FF9FA57848}"/>
    <cellStyle name="20% - Accent1 2 3 6 3" xfId="10806" xr:uid="{7F4B84CD-B48F-4284-AB2A-191B8CB05BD5}"/>
    <cellStyle name="20% - Accent1 2 3 6 4" xfId="19254" xr:uid="{599B0D74-15A5-4ED7-9468-18F76C76F37F}"/>
    <cellStyle name="20% - Accent1 2 3 7" xfId="4508" xr:uid="{00000000-0005-0000-0000-00003E000000}"/>
    <cellStyle name="20% - Accent1 2 3 7 2" xfId="12958" xr:uid="{D086F87B-3A09-4203-B822-99FA3A297905}"/>
    <cellStyle name="20% - Accent1 2 3 7 3" xfId="21405" xr:uid="{5DA91915-9570-43E9-B5D9-D676DD1B9B60}"/>
    <cellStyle name="20% - Accent1 2 3 8" xfId="8740" xr:uid="{EECB0E9D-C548-44ED-A011-2953237942A7}"/>
    <cellStyle name="20% - Accent1 2 3 9" xfId="17188" xr:uid="{5C69DBD0-44D6-4A0C-918A-C3E615B27296}"/>
    <cellStyle name="20% - Accent1 2 4" xfId="571" xr:uid="{00000000-0005-0000-0000-00003F000000}"/>
    <cellStyle name="20% - Accent1 2 4 2" xfId="2842" xr:uid="{00000000-0005-0000-0000-000040000000}"/>
    <cellStyle name="20% - Accent1 2 4 2 2" xfId="7064" xr:uid="{00000000-0005-0000-0000-000041000000}"/>
    <cellStyle name="20% - Accent1 2 4 2 2 2" xfId="15514" xr:uid="{DFA68924-1BA6-4455-B2AE-A6BE221223C3}"/>
    <cellStyle name="20% - Accent1 2 4 2 2 3" xfId="23961" xr:uid="{C1E51AEE-82FA-4A61-B04E-D0BC7ADE1CFA}"/>
    <cellStyle name="20% - Accent1 2 4 2 3" xfId="11296" xr:uid="{D6588C4F-2D04-4E9B-8102-3AD63BDA801C}"/>
    <cellStyle name="20% - Accent1 2 4 2 4" xfId="19744" xr:uid="{FCF399FB-CC6B-4B39-868C-F369B1B22EAC}"/>
    <cellStyle name="20% - Accent1 2 4 3" xfId="4919" xr:uid="{00000000-0005-0000-0000-000042000000}"/>
    <cellStyle name="20% - Accent1 2 4 3 2" xfId="13369" xr:uid="{12ADB775-031E-4CB6-A0A7-F68F230DCA2A}"/>
    <cellStyle name="20% - Accent1 2 4 3 3" xfId="21816" xr:uid="{9D07888F-29BD-4E9C-9D56-34058CE31B57}"/>
    <cellStyle name="20% - Accent1 2 4 4" xfId="9151" xr:uid="{890B9794-A623-48D5-8788-3E99EA00AA9A}"/>
    <cellStyle name="20% - Accent1 2 4 5" xfId="17599" xr:uid="{7BAC4618-D6A2-4F64-A328-1DCCB8421477}"/>
    <cellStyle name="20% - Accent1 2 5" xfId="1024" xr:uid="{00000000-0005-0000-0000-000043000000}"/>
    <cellStyle name="20% - Accent1 2 5 2" xfId="3255" xr:uid="{00000000-0005-0000-0000-000044000000}"/>
    <cellStyle name="20% - Accent1 2 5 2 2" xfId="7477" xr:uid="{00000000-0005-0000-0000-000045000000}"/>
    <cellStyle name="20% - Accent1 2 5 2 2 2" xfId="15927" xr:uid="{156E1E7F-64EB-4210-A0B7-459CEC924123}"/>
    <cellStyle name="20% - Accent1 2 5 2 2 3" xfId="24374" xr:uid="{DA33C3B7-A54C-414D-8389-F8C032989D78}"/>
    <cellStyle name="20% - Accent1 2 5 2 3" xfId="11709" xr:uid="{B6028D11-FCED-47F6-8932-82BBB0D91369}"/>
    <cellStyle name="20% - Accent1 2 5 2 4" xfId="20157" xr:uid="{381583A5-7820-4798-8194-ED22E076C1C0}"/>
    <cellStyle name="20% - Accent1 2 5 3" xfId="5332" xr:uid="{00000000-0005-0000-0000-000046000000}"/>
    <cellStyle name="20% - Accent1 2 5 3 2" xfId="13782" xr:uid="{00423451-4DD3-4F2A-A287-6D6F39A1E5FE}"/>
    <cellStyle name="20% - Accent1 2 5 3 3" xfId="22229" xr:uid="{582B4C94-BA8E-4065-A875-E876BCC493EE}"/>
    <cellStyle name="20% - Accent1 2 5 4" xfId="9564" xr:uid="{ECC7AB28-7642-442E-9250-51AB71153D99}"/>
    <cellStyle name="20% - Accent1 2 5 5" xfId="18012" xr:uid="{7E1D0AAB-0691-4434-90DB-87AED3FCED56}"/>
    <cellStyle name="20% - Accent1 2 6" xfId="1438" xr:uid="{00000000-0005-0000-0000-000047000000}"/>
    <cellStyle name="20% - Accent1 2 6 2" xfId="3668" xr:uid="{00000000-0005-0000-0000-000048000000}"/>
    <cellStyle name="20% - Accent1 2 6 2 2" xfId="7890" xr:uid="{00000000-0005-0000-0000-000049000000}"/>
    <cellStyle name="20% - Accent1 2 6 2 2 2" xfId="16340" xr:uid="{A831D566-4023-43CC-A9DB-FAFE79C6DE27}"/>
    <cellStyle name="20% - Accent1 2 6 2 2 3" xfId="24787" xr:uid="{EB45D99E-F34F-4E39-BE75-E071455726D5}"/>
    <cellStyle name="20% - Accent1 2 6 2 3" xfId="12122" xr:uid="{151ECC16-693F-42DE-89F8-622FB08E2C64}"/>
    <cellStyle name="20% - Accent1 2 6 2 4" xfId="20570" xr:uid="{19789588-718A-492E-BF8F-98C8BB2DC299}"/>
    <cellStyle name="20% - Accent1 2 6 3" xfId="5745" xr:uid="{00000000-0005-0000-0000-00004A000000}"/>
    <cellStyle name="20% - Accent1 2 6 3 2" xfId="14195" xr:uid="{6DE7B3E9-AE38-46DC-924D-0D765BA5A6D9}"/>
    <cellStyle name="20% - Accent1 2 6 3 3" xfId="22642" xr:uid="{8AFE2818-21BF-4C2A-8D05-0092466AD1F9}"/>
    <cellStyle name="20% - Accent1 2 6 4" xfId="9977" xr:uid="{ABCF598F-4308-44E6-B9E0-1838E9E2E67B}"/>
    <cellStyle name="20% - Accent1 2 6 5" xfId="18425" xr:uid="{AF94CAED-905B-4BB1-939B-B6115C0FDEB3}"/>
    <cellStyle name="20% - Accent1 2 7" xfId="1852" xr:uid="{00000000-0005-0000-0000-00004B000000}"/>
    <cellStyle name="20% - Accent1 2 7 2" xfId="4081" xr:uid="{00000000-0005-0000-0000-00004C000000}"/>
    <cellStyle name="20% - Accent1 2 7 2 2" xfId="8303" xr:uid="{00000000-0005-0000-0000-00004D000000}"/>
    <cellStyle name="20% - Accent1 2 7 2 2 2" xfId="16753" xr:uid="{EF554AF1-B006-44A8-9098-77E861DA5B82}"/>
    <cellStyle name="20% - Accent1 2 7 2 2 3" xfId="25200" xr:uid="{89641936-B238-40FE-B696-C3D5D7064DD3}"/>
    <cellStyle name="20% - Accent1 2 7 2 3" xfId="12535" xr:uid="{9C3EE6BF-BDD5-42DC-8327-9A52158CC587}"/>
    <cellStyle name="20% - Accent1 2 7 2 4" xfId="20983" xr:uid="{7E8ADC7C-95F4-4162-A357-3F911038AD3C}"/>
    <cellStyle name="20% - Accent1 2 7 3" xfId="6158" xr:uid="{00000000-0005-0000-0000-00004E000000}"/>
    <cellStyle name="20% - Accent1 2 7 3 2" xfId="14608" xr:uid="{2560A5CC-C86F-46F8-83F8-A5FB9FF6B700}"/>
    <cellStyle name="20% - Accent1 2 7 3 3" xfId="23055" xr:uid="{22F562CC-253C-4573-B649-F1CCDEB1CCB8}"/>
    <cellStyle name="20% - Accent1 2 7 4" xfId="10390" xr:uid="{37B548D1-859B-4DDF-9641-8B66CFA04747}"/>
    <cellStyle name="20% - Accent1 2 7 5" xfId="18838" xr:uid="{33D329C3-745F-4FF8-8A3C-D28820B3A5BF}"/>
    <cellStyle name="20% - Accent1 2 8" xfId="2265" xr:uid="{00000000-0005-0000-0000-00004F000000}"/>
    <cellStyle name="20% - Accent1 2 8 2" xfId="6571" xr:uid="{00000000-0005-0000-0000-000050000000}"/>
    <cellStyle name="20% - Accent1 2 8 2 2" xfId="15021" xr:uid="{0E34CBBF-9767-4D5D-97CB-2A09FA466199}"/>
    <cellStyle name="20% - Accent1 2 8 2 3" xfId="23468" xr:uid="{3A22AFF0-748A-4399-BEEC-D03D2D7705AF}"/>
    <cellStyle name="20% - Accent1 2 8 3" xfId="10803" xr:uid="{B278DBCA-CAB8-4453-90FE-1FBC800DB344}"/>
    <cellStyle name="20% - Accent1 2 8 4" xfId="19251" xr:uid="{35823119-3B2A-4F3C-B34A-CA524067AA75}"/>
    <cellStyle name="20% - Accent1 2 9" xfId="4505" xr:uid="{00000000-0005-0000-0000-000051000000}"/>
    <cellStyle name="20% - Accent1 2 9 2" xfId="12955" xr:uid="{13E72D84-C3DF-40BC-A220-8B8B20D81718}"/>
    <cellStyle name="20% - Accent1 2 9 3" xfId="21402" xr:uid="{97690EAA-543A-4779-B53A-FF83765866C0}"/>
    <cellStyle name="20% - Accent1 3" xfId="6" xr:uid="{00000000-0005-0000-0000-000052000000}"/>
    <cellStyle name="20% - Accent1 3 10" xfId="17189" xr:uid="{4D330B36-6DEF-49AD-8EE3-C5841171CB7A}"/>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2 2 2" xfId="15519" xr:uid="{69A9A13D-19E8-440B-83B7-D37E21949C1D}"/>
    <cellStyle name="20% - Accent1 3 2 2 2 2 3" xfId="23966" xr:uid="{6E657E6B-E149-4E08-A6A2-947EF18EA52C}"/>
    <cellStyle name="20% - Accent1 3 2 2 2 3" xfId="11301" xr:uid="{FDBF1A51-F341-4AFB-9482-7AA885D222E1}"/>
    <cellStyle name="20% - Accent1 3 2 2 2 4" xfId="19749" xr:uid="{EE2ABDC5-ECE5-4809-BA7C-E2ED1254BDC1}"/>
    <cellStyle name="20% - Accent1 3 2 2 3" xfId="4924" xr:uid="{00000000-0005-0000-0000-000057000000}"/>
    <cellStyle name="20% - Accent1 3 2 2 3 2" xfId="13374" xr:uid="{219ED038-7A69-4B20-84A7-A53258FD570A}"/>
    <cellStyle name="20% - Accent1 3 2 2 3 3" xfId="21821" xr:uid="{78017012-A70B-42D3-BACF-6DF4A4DFDF8B}"/>
    <cellStyle name="20% - Accent1 3 2 2 4" xfId="9156" xr:uid="{2D25CC83-E655-458B-BC09-396B28EA4F08}"/>
    <cellStyle name="20% - Accent1 3 2 2 5" xfId="17604" xr:uid="{1BF7DCFB-9437-4A2B-920F-7FAE852ADB7A}"/>
    <cellStyle name="20% - Accent1 3 2 3" xfId="1029" xr:uid="{00000000-0005-0000-0000-000058000000}"/>
    <cellStyle name="20% - Accent1 3 2 3 2" xfId="3260" xr:uid="{00000000-0005-0000-0000-000059000000}"/>
    <cellStyle name="20% - Accent1 3 2 3 2 2" xfId="7482" xr:uid="{00000000-0005-0000-0000-00005A000000}"/>
    <cellStyle name="20% - Accent1 3 2 3 2 2 2" xfId="15932" xr:uid="{64441EC7-2A6F-45A9-B0A5-1AB9E4E4080E}"/>
    <cellStyle name="20% - Accent1 3 2 3 2 2 3" xfId="24379" xr:uid="{02F6CF9C-AA31-4132-B621-1ADDE8191B86}"/>
    <cellStyle name="20% - Accent1 3 2 3 2 3" xfId="11714" xr:uid="{2BE00376-A55F-4807-8EAC-B3EAE4C49436}"/>
    <cellStyle name="20% - Accent1 3 2 3 2 4" xfId="20162" xr:uid="{12454CDD-157B-4C85-B76D-47AF82326818}"/>
    <cellStyle name="20% - Accent1 3 2 3 3" xfId="5337" xr:uid="{00000000-0005-0000-0000-00005B000000}"/>
    <cellStyle name="20% - Accent1 3 2 3 3 2" xfId="13787" xr:uid="{1512DDA5-FE36-40C9-920F-D6E8A0D1C8B1}"/>
    <cellStyle name="20% - Accent1 3 2 3 3 3" xfId="22234" xr:uid="{C4BC24AA-B30E-4C3F-88E9-3D9C72D22984}"/>
    <cellStyle name="20% - Accent1 3 2 3 4" xfId="9569" xr:uid="{E7DDB81D-C8F4-4F01-9225-CC0EAF963DB0}"/>
    <cellStyle name="20% - Accent1 3 2 3 5" xfId="18017" xr:uid="{F4A20A84-BB6F-4039-949B-E40BAE4417B3}"/>
    <cellStyle name="20% - Accent1 3 2 4" xfId="1443" xr:uid="{00000000-0005-0000-0000-00005C000000}"/>
    <cellStyle name="20% - Accent1 3 2 4 2" xfId="3673" xr:uid="{00000000-0005-0000-0000-00005D000000}"/>
    <cellStyle name="20% - Accent1 3 2 4 2 2" xfId="7895" xr:uid="{00000000-0005-0000-0000-00005E000000}"/>
    <cellStyle name="20% - Accent1 3 2 4 2 2 2" xfId="16345" xr:uid="{939395BD-04FE-4C67-B872-DCE3A234D521}"/>
    <cellStyle name="20% - Accent1 3 2 4 2 2 3" xfId="24792" xr:uid="{0BE4590E-C8A0-42C6-8414-3D8876BA78E5}"/>
    <cellStyle name="20% - Accent1 3 2 4 2 3" xfId="12127" xr:uid="{5CF774F8-9326-4071-A485-B567E30D3707}"/>
    <cellStyle name="20% - Accent1 3 2 4 2 4" xfId="20575" xr:uid="{CEB520BA-DB16-44EE-A65D-09EC9467C5DE}"/>
    <cellStyle name="20% - Accent1 3 2 4 3" xfId="5750" xr:uid="{00000000-0005-0000-0000-00005F000000}"/>
    <cellStyle name="20% - Accent1 3 2 4 3 2" xfId="14200" xr:uid="{2BB80704-873E-4D24-9E2D-B3351B81707D}"/>
    <cellStyle name="20% - Accent1 3 2 4 3 3" xfId="22647" xr:uid="{6909B8BB-D5CA-4D48-8540-09A9BD7C8932}"/>
    <cellStyle name="20% - Accent1 3 2 4 4" xfId="9982" xr:uid="{4B437F44-2289-44F9-917D-C73AB7EBC659}"/>
    <cellStyle name="20% - Accent1 3 2 4 5" xfId="18430" xr:uid="{5E376671-C079-45E6-9CB5-00EF6336FE0C}"/>
    <cellStyle name="20% - Accent1 3 2 5" xfId="1857" xr:uid="{00000000-0005-0000-0000-000060000000}"/>
    <cellStyle name="20% - Accent1 3 2 5 2" xfId="4086" xr:uid="{00000000-0005-0000-0000-000061000000}"/>
    <cellStyle name="20% - Accent1 3 2 5 2 2" xfId="8308" xr:uid="{00000000-0005-0000-0000-000062000000}"/>
    <cellStyle name="20% - Accent1 3 2 5 2 2 2" xfId="16758" xr:uid="{CB796FED-43FA-49C1-B1C8-514FB157B411}"/>
    <cellStyle name="20% - Accent1 3 2 5 2 2 3" xfId="25205" xr:uid="{EBC7F01E-31AC-4B7B-9F14-363FA762734B}"/>
    <cellStyle name="20% - Accent1 3 2 5 2 3" xfId="12540" xr:uid="{555F529A-51C0-4311-A2D3-E98E5097E898}"/>
    <cellStyle name="20% - Accent1 3 2 5 2 4" xfId="20988" xr:uid="{EA754B28-00C1-4A7D-BB91-34E7CD621528}"/>
    <cellStyle name="20% - Accent1 3 2 5 3" xfId="6163" xr:uid="{00000000-0005-0000-0000-000063000000}"/>
    <cellStyle name="20% - Accent1 3 2 5 3 2" xfId="14613" xr:uid="{CFC755C8-8BEE-476F-9BEE-8B336D7733B5}"/>
    <cellStyle name="20% - Accent1 3 2 5 3 3" xfId="23060" xr:uid="{5D6F44CF-7F28-4777-9A2A-AA21AE142004}"/>
    <cellStyle name="20% - Accent1 3 2 5 4" xfId="10395" xr:uid="{78C80F9A-2BBA-484C-8E7F-36902CF5CAEB}"/>
    <cellStyle name="20% - Accent1 3 2 5 5" xfId="18843" xr:uid="{3F182D42-EEBE-4588-9930-33C19597923A}"/>
    <cellStyle name="20% - Accent1 3 2 6" xfId="2270" xr:uid="{00000000-0005-0000-0000-000064000000}"/>
    <cellStyle name="20% - Accent1 3 2 6 2" xfId="6576" xr:uid="{00000000-0005-0000-0000-000065000000}"/>
    <cellStyle name="20% - Accent1 3 2 6 2 2" xfId="15026" xr:uid="{A9104C06-8AEB-444D-924B-EF59F21DED56}"/>
    <cellStyle name="20% - Accent1 3 2 6 2 3" xfId="23473" xr:uid="{B1D4A6D8-3651-4BEC-A6EC-F16F29C54DFC}"/>
    <cellStyle name="20% - Accent1 3 2 6 3" xfId="10808" xr:uid="{AF063382-55B3-4716-AFB2-567C32D0BC1B}"/>
    <cellStyle name="20% - Accent1 3 2 6 4" xfId="19256" xr:uid="{BEBBAEF8-2226-4941-BAF5-BB74FD78615A}"/>
    <cellStyle name="20% - Accent1 3 2 7" xfId="4510" xr:uid="{00000000-0005-0000-0000-000066000000}"/>
    <cellStyle name="20% - Accent1 3 2 7 2" xfId="12960" xr:uid="{D5B5E8B2-7330-438F-A145-36FA05544C00}"/>
    <cellStyle name="20% - Accent1 3 2 7 3" xfId="21407" xr:uid="{2F3CCD3F-0A04-4865-904C-5A9590E9AE46}"/>
    <cellStyle name="20% - Accent1 3 2 8" xfId="8742" xr:uid="{F8C79A36-9881-4495-8E77-5057547741D1}"/>
    <cellStyle name="20% - Accent1 3 2 9" xfId="17190" xr:uid="{1B59E922-4586-47FA-9AE5-BCCE0A06C6E4}"/>
    <cellStyle name="20% - Accent1 3 3" xfId="575" xr:uid="{00000000-0005-0000-0000-000067000000}"/>
    <cellStyle name="20% - Accent1 3 3 2" xfId="2846" xr:uid="{00000000-0005-0000-0000-000068000000}"/>
    <cellStyle name="20% - Accent1 3 3 2 2" xfId="7068" xr:uid="{00000000-0005-0000-0000-000069000000}"/>
    <cellStyle name="20% - Accent1 3 3 2 2 2" xfId="15518" xr:uid="{E7067967-5FA3-4421-8DFA-D8500E3A3C4D}"/>
    <cellStyle name="20% - Accent1 3 3 2 2 3" xfId="23965" xr:uid="{AD9BC0F8-78C3-4E4D-AD70-BA34DBC3CEF5}"/>
    <cellStyle name="20% - Accent1 3 3 2 3" xfId="11300" xr:uid="{B4860445-787B-4921-8017-1DB69E96F610}"/>
    <cellStyle name="20% - Accent1 3 3 2 4" xfId="19748" xr:uid="{71F47378-7657-47BB-AA48-7F02FCE4C71E}"/>
    <cellStyle name="20% - Accent1 3 3 3" xfId="4923" xr:uid="{00000000-0005-0000-0000-00006A000000}"/>
    <cellStyle name="20% - Accent1 3 3 3 2" xfId="13373" xr:uid="{81DED383-45E2-4DC7-9173-1DEABBBC1E62}"/>
    <cellStyle name="20% - Accent1 3 3 3 3" xfId="21820" xr:uid="{2D4EBEF9-C8EF-4695-AFCC-6546E6A101EA}"/>
    <cellStyle name="20% - Accent1 3 3 4" xfId="9155" xr:uid="{A4D12921-F183-4226-BC61-09890E999225}"/>
    <cellStyle name="20% - Accent1 3 3 5" xfId="17603" xr:uid="{0AA1E74B-ABB7-4063-ABBA-F5B502A46949}"/>
    <cellStyle name="20% - Accent1 3 4" xfId="1028" xr:uid="{00000000-0005-0000-0000-00006B000000}"/>
    <cellStyle name="20% - Accent1 3 4 2" xfId="3259" xr:uid="{00000000-0005-0000-0000-00006C000000}"/>
    <cellStyle name="20% - Accent1 3 4 2 2" xfId="7481" xr:uid="{00000000-0005-0000-0000-00006D000000}"/>
    <cellStyle name="20% - Accent1 3 4 2 2 2" xfId="15931" xr:uid="{664626AE-9F1F-4102-BA32-C0F04F03AD61}"/>
    <cellStyle name="20% - Accent1 3 4 2 2 3" xfId="24378" xr:uid="{6E791E6E-EDBD-4066-8568-24BCC400DCB0}"/>
    <cellStyle name="20% - Accent1 3 4 2 3" xfId="11713" xr:uid="{96702E03-C5B1-49F6-8DD5-F65150241931}"/>
    <cellStyle name="20% - Accent1 3 4 2 4" xfId="20161" xr:uid="{D9457FDE-5E88-4441-AFD1-80AE6459AD44}"/>
    <cellStyle name="20% - Accent1 3 4 3" xfId="5336" xr:uid="{00000000-0005-0000-0000-00006E000000}"/>
    <cellStyle name="20% - Accent1 3 4 3 2" xfId="13786" xr:uid="{68F54F42-B99D-4829-A4A5-1D8F4D9B307E}"/>
    <cellStyle name="20% - Accent1 3 4 3 3" xfId="22233" xr:uid="{3883A5D6-95A2-48D5-B76B-08618F2E7AA8}"/>
    <cellStyle name="20% - Accent1 3 4 4" xfId="9568" xr:uid="{BEE046E3-EAB7-4F25-841A-04F8E63A08BD}"/>
    <cellStyle name="20% - Accent1 3 4 5" xfId="18016" xr:uid="{5F2CD490-5F2D-45C7-BBE2-5153BC4B5F0B}"/>
    <cellStyle name="20% - Accent1 3 5" xfId="1442" xr:uid="{00000000-0005-0000-0000-00006F000000}"/>
    <cellStyle name="20% - Accent1 3 5 2" xfId="3672" xr:uid="{00000000-0005-0000-0000-000070000000}"/>
    <cellStyle name="20% - Accent1 3 5 2 2" xfId="7894" xr:uid="{00000000-0005-0000-0000-000071000000}"/>
    <cellStyle name="20% - Accent1 3 5 2 2 2" xfId="16344" xr:uid="{37E0D3A0-6229-4085-A28B-855407080B10}"/>
    <cellStyle name="20% - Accent1 3 5 2 2 3" xfId="24791" xr:uid="{CBA780B1-4ED4-43B8-AA7C-7D4444008E6D}"/>
    <cellStyle name="20% - Accent1 3 5 2 3" xfId="12126" xr:uid="{DB549DBB-D2A3-4CBE-8B6A-04C589882970}"/>
    <cellStyle name="20% - Accent1 3 5 2 4" xfId="20574" xr:uid="{122DF36A-8247-4B71-8D79-70FE53571E7F}"/>
    <cellStyle name="20% - Accent1 3 5 3" xfId="5749" xr:uid="{00000000-0005-0000-0000-000072000000}"/>
    <cellStyle name="20% - Accent1 3 5 3 2" xfId="14199" xr:uid="{DEDD156E-249B-4E68-A80C-F52C97F192C6}"/>
    <cellStyle name="20% - Accent1 3 5 3 3" xfId="22646" xr:uid="{23A11EFE-3446-4341-AB34-6B9C774D2D1E}"/>
    <cellStyle name="20% - Accent1 3 5 4" xfId="9981" xr:uid="{C92EEFC6-DFD5-430D-ACC6-090DFD43EA4F}"/>
    <cellStyle name="20% - Accent1 3 5 5" xfId="18429" xr:uid="{85292DC9-C382-4A99-957E-CDF73C17EC7B}"/>
    <cellStyle name="20% - Accent1 3 6" xfId="1856" xr:uid="{00000000-0005-0000-0000-000073000000}"/>
    <cellStyle name="20% - Accent1 3 6 2" xfId="4085" xr:uid="{00000000-0005-0000-0000-000074000000}"/>
    <cellStyle name="20% - Accent1 3 6 2 2" xfId="8307" xr:uid="{00000000-0005-0000-0000-000075000000}"/>
    <cellStyle name="20% - Accent1 3 6 2 2 2" xfId="16757" xr:uid="{8FB34545-F88F-45A0-ACDF-4D8BA45DC85B}"/>
    <cellStyle name="20% - Accent1 3 6 2 2 3" xfId="25204" xr:uid="{E881FF2D-4D98-42B7-999C-E4A712B047C7}"/>
    <cellStyle name="20% - Accent1 3 6 2 3" xfId="12539" xr:uid="{8D732C48-4426-40EA-9C5B-794856512B39}"/>
    <cellStyle name="20% - Accent1 3 6 2 4" xfId="20987" xr:uid="{54C67CE2-24F3-4939-8467-F377E8718FDB}"/>
    <cellStyle name="20% - Accent1 3 6 3" xfId="6162" xr:uid="{00000000-0005-0000-0000-000076000000}"/>
    <cellStyle name="20% - Accent1 3 6 3 2" xfId="14612" xr:uid="{6A93FF58-037E-4B8B-8E83-224FD6F58985}"/>
    <cellStyle name="20% - Accent1 3 6 3 3" xfId="23059" xr:uid="{DBA00140-E67F-44B0-86A0-534A6B8214C4}"/>
    <cellStyle name="20% - Accent1 3 6 4" xfId="10394" xr:uid="{BE0043DE-040F-4AE5-956B-8A3336272D5C}"/>
    <cellStyle name="20% - Accent1 3 6 5" xfId="18842" xr:uid="{DE5ACCB1-EF1D-4C07-8AA2-D4BF4BBC44A4}"/>
    <cellStyle name="20% - Accent1 3 7" xfId="2269" xr:uid="{00000000-0005-0000-0000-000077000000}"/>
    <cellStyle name="20% - Accent1 3 7 2" xfId="6575" xr:uid="{00000000-0005-0000-0000-000078000000}"/>
    <cellStyle name="20% - Accent1 3 7 2 2" xfId="15025" xr:uid="{A2E9EB25-192F-43F6-8B2D-F58A8AAF1A0A}"/>
    <cellStyle name="20% - Accent1 3 7 2 3" xfId="23472" xr:uid="{9646F786-8E94-4771-95DB-0CED91E96313}"/>
    <cellStyle name="20% - Accent1 3 7 3" xfId="10807" xr:uid="{A87D126D-3605-4A18-B588-97573FD91452}"/>
    <cellStyle name="20% - Accent1 3 7 4" xfId="19255" xr:uid="{B8966FA9-1CEC-4B9F-91A0-5819E89768C0}"/>
    <cellStyle name="20% - Accent1 3 8" xfId="4509" xr:uid="{00000000-0005-0000-0000-000079000000}"/>
    <cellStyle name="20% - Accent1 3 8 2" xfId="12959" xr:uid="{E94E7CA1-F4FE-4996-A996-83F2FDFAD75C}"/>
    <cellStyle name="20% - Accent1 3 8 3" xfId="21406" xr:uid="{F17A58BF-277C-403E-B6B1-0E57180E3A91}"/>
    <cellStyle name="20% - Accent1 3 9" xfId="8741" xr:uid="{7869E091-85C7-45A4-AC8F-8429A43A6D1A}"/>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2 2 2" xfId="15520" xr:uid="{AF88A8F6-2BEA-46D7-86EE-963A64087998}"/>
    <cellStyle name="20% - Accent1 4 2 2 2 3" xfId="23967" xr:uid="{130514BD-082C-431C-A2B0-7F592CAD9A9D}"/>
    <cellStyle name="20% - Accent1 4 2 2 3" xfId="11302" xr:uid="{1269A5D6-54DC-43DA-B79B-8F8ABED1852D}"/>
    <cellStyle name="20% - Accent1 4 2 2 4" xfId="19750" xr:uid="{FBF51C6F-A332-40E4-ABCF-AB9D61B6A508}"/>
    <cellStyle name="20% - Accent1 4 2 3" xfId="4925" xr:uid="{00000000-0005-0000-0000-00007E000000}"/>
    <cellStyle name="20% - Accent1 4 2 3 2" xfId="13375" xr:uid="{57E3D2D1-FEAF-4D18-A672-6AB82C8FDA15}"/>
    <cellStyle name="20% - Accent1 4 2 3 3" xfId="21822" xr:uid="{D0D105D9-A89E-49D6-A0FB-9642CCE80D65}"/>
    <cellStyle name="20% - Accent1 4 2 4" xfId="9157" xr:uid="{FCC93A46-26F3-4BB2-9289-3CB45BC81530}"/>
    <cellStyle name="20% - Accent1 4 2 5" xfId="17605" xr:uid="{B019522F-FC75-4EE6-89D0-FAB714E4DF67}"/>
    <cellStyle name="20% - Accent1 4 3" xfId="1030" xr:uid="{00000000-0005-0000-0000-00007F000000}"/>
    <cellStyle name="20% - Accent1 4 3 2" xfId="3261" xr:uid="{00000000-0005-0000-0000-000080000000}"/>
    <cellStyle name="20% - Accent1 4 3 2 2" xfId="7483" xr:uid="{00000000-0005-0000-0000-000081000000}"/>
    <cellStyle name="20% - Accent1 4 3 2 2 2" xfId="15933" xr:uid="{FC143DB6-779C-4E9F-B321-9123B12D3FFB}"/>
    <cellStyle name="20% - Accent1 4 3 2 2 3" xfId="24380" xr:uid="{2E4F2578-05E6-4D0E-BB86-F9A1A5110B6D}"/>
    <cellStyle name="20% - Accent1 4 3 2 3" xfId="11715" xr:uid="{DC7E1A4F-8EB8-4234-8646-6872FD04E004}"/>
    <cellStyle name="20% - Accent1 4 3 2 4" xfId="20163" xr:uid="{612BD6AD-3BFB-4FB6-9A2A-B0E4C58B6AE7}"/>
    <cellStyle name="20% - Accent1 4 3 3" xfId="5338" xr:uid="{00000000-0005-0000-0000-000082000000}"/>
    <cellStyle name="20% - Accent1 4 3 3 2" xfId="13788" xr:uid="{7A8FAE09-EB94-4207-AF53-5D15D619E01F}"/>
    <cellStyle name="20% - Accent1 4 3 3 3" xfId="22235" xr:uid="{DE7FF5A4-28F0-41A0-AB05-D8A35B31D4C4}"/>
    <cellStyle name="20% - Accent1 4 3 4" xfId="9570" xr:uid="{5B129124-6D06-47F3-865F-0E79A711308C}"/>
    <cellStyle name="20% - Accent1 4 3 5" xfId="18018" xr:uid="{04E5C9F9-B629-433F-83F5-64165AE7F75F}"/>
    <cellStyle name="20% - Accent1 4 4" xfId="1444" xr:uid="{00000000-0005-0000-0000-000083000000}"/>
    <cellStyle name="20% - Accent1 4 4 2" xfId="3674" xr:uid="{00000000-0005-0000-0000-000084000000}"/>
    <cellStyle name="20% - Accent1 4 4 2 2" xfId="7896" xr:uid="{00000000-0005-0000-0000-000085000000}"/>
    <cellStyle name="20% - Accent1 4 4 2 2 2" xfId="16346" xr:uid="{B25CC54C-5E3D-45D4-A6E2-C2A360770889}"/>
    <cellStyle name="20% - Accent1 4 4 2 2 3" xfId="24793" xr:uid="{224227BE-D289-4A42-9345-CE63058377EC}"/>
    <cellStyle name="20% - Accent1 4 4 2 3" xfId="12128" xr:uid="{42F362F5-24E4-4003-94C4-A4671299DC0B}"/>
    <cellStyle name="20% - Accent1 4 4 2 4" xfId="20576" xr:uid="{761E07BB-26E4-45D4-AAFC-37146BB5080F}"/>
    <cellStyle name="20% - Accent1 4 4 3" xfId="5751" xr:uid="{00000000-0005-0000-0000-000086000000}"/>
    <cellStyle name="20% - Accent1 4 4 3 2" xfId="14201" xr:uid="{E70ABEC3-EA97-4FC5-838E-7C548FFC6644}"/>
    <cellStyle name="20% - Accent1 4 4 3 3" xfId="22648" xr:uid="{EFEEEA2A-76DB-4573-9D5F-52146F4EFF7F}"/>
    <cellStyle name="20% - Accent1 4 4 4" xfId="9983" xr:uid="{810DB723-25E0-4EB4-AC54-DD7661E1830B}"/>
    <cellStyle name="20% - Accent1 4 4 5" xfId="18431" xr:uid="{71DE9FF1-390C-4552-952F-1E91BAC07018}"/>
    <cellStyle name="20% - Accent1 4 5" xfId="1858" xr:uid="{00000000-0005-0000-0000-000087000000}"/>
    <cellStyle name="20% - Accent1 4 5 2" xfId="4087" xr:uid="{00000000-0005-0000-0000-000088000000}"/>
    <cellStyle name="20% - Accent1 4 5 2 2" xfId="8309" xr:uid="{00000000-0005-0000-0000-000089000000}"/>
    <cellStyle name="20% - Accent1 4 5 2 2 2" xfId="16759" xr:uid="{A2F9E208-584F-4DCA-A092-9E958AC08471}"/>
    <cellStyle name="20% - Accent1 4 5 2 2 3" xfId="25206" xr:uid="{886BBD77-8305-44C3-9724-10104D0A2735}"/>
    <cellStyle name="20% - Accent1 4 5 2 3" xfId="12541" xr:uid="{8ED2A47D-1581-4A23-BC31-A1A1BCC4D635}"/>
    <cellStyle name="20% - Accent1 4 5 2 4" xfId="20989" xr:uid="{81AE7B46-1800-4E75-ABAA-EA4721DEDA43}"/>
    <cellStyle name="20% - Accent1 4 5 3" xfId="6164" xr:uid="{00000000-0005-0000-0000-00008A000000}"/>
    <cellStyle name="20% - Accent1 4 5 3 2" xfId="14614" xr:uid="{B5F3ED46-5945-4436-AFD8-9968948C89C1}"/>
    <cellStyle name="20% - Accent1 4 5 3 3" xfId="23061" xr:uid="{471AC4D6-88AE-405A-A312-18AAF9BCAF55}"/>
    <cellStyle name="20% - Accent1 4 5 4" xfId="10396" xr:uid="{FD4ED645-C0D2-4E6D-8955-B9FE7A73498C}"/>
    <cellStyle name="20% - Accent1 4 5 5" xfId="18844" xr:uid="{2BDF5ECB-29FD-4C73-A78D-1FA34FE5F21E}"/>
    <cellStyle name="20% - Accent1 4 6" xfId="2271" xr:uid="{00000000-0005-0000-0000-00008B000000}"/>
    <cellStyle name="20% - Accent1 4 6 2" xfId="6577" xr:uid="{00000000-0005-0000-0000-00008C000000}"/>
    <cellStyle name="20% - Accent1 4 6 2 2" xfId="15027" xr:uid="{E5CD9674-C613-4A72-848F-F70BA3EDB9C7}"/>
    <cellStyle name="20% - Accent1 4 6 2 3" xfId="23474" xr:uid="{899F91DB-2802-4D75-9CD4-28F761CE36A8}"/>
    <cellStyle name="20% - Accent1 4 6 3" xfId="10809" xr:uid="{082EC49E-8200-439B-A898-88F75BBC2820}"/>
    <cellStyle name="20% - Accent1 4 6 4" xfId="19257" xr:uid="{C58821FA-BA11-4665-B07D-60BA44074D56}"/>
    <cellStyle name="20% - Accent1 4 7" xfId="4511" xr:uid="{00000000-0005-0000-0000-00008D000000}"/>
    <cellStyle name="20% - Accent1 4 7 2" xfId="12961" xr:uid="{AD50EB43-8558-4E07-9FFC-B268120898C9}"/>
    <cellStyle name="20% - Accent1 4 7 3" xfId="21408" xr:uid="{F42D1021-93EA-47BF-A2A4-817D3EF4201F}"/>
    <cellStyle name="20% - Accent1 4 8" xfId="8743" xr:uid="{6BBEF64C-3ED2-4A45-8C0C-FA0EC9B08A86}"/>
    <cellStyle name="20% - Accent1 4 9" xfId="17191" xr:uid="{9585FF0F-91D4-46B9-B523-7312FDAB3421}"/>
    <cellStyle name="20% - Accent1 5" xfId="570" xr:uid="{00000000-0005-0000-0000-00008E000000}"/>
    <cellStyle name="20% - Accent1 5 2" xfId="2841" xr:uid="{00000000-0005-0000-0000-00008F000000}"/>
    <cellStyle name="20% - Accent1 5 2 2" xfId="7063" xr:uid="{00000000-0005-0000-0000-000090000000}"/>
    <cellStyle name="20% - Accent1 5 2 2 2" xfId="15513" xr:uid="{94BF9185-20A1-45B4-AF3A-4E2BD9CA1DA4}"/>
    <cellStyle name="20% - Accent1 5 2 2 3" xfId="23960" xr:uid="{34E21976-5AAC-4FE1-AB8A-B55766EDBD71}"/>
    <cellStyle name="20% - Accent1 5 2 3" xfId="11295" xr:uid="{7DAADC85-DDEC-45E6-AD55-50636E3750C8}"/>
    <cellStyle name="20% - Accent1 5 2 4" xfId="19743" xr:uid="{27A97EDA-3380-494B-B5C4-94B85F215E2C}"/>
    <cellStyle name="20% - Accent1 5 3" xfId="4918" xr:uid="{00000000-0005-0000-0000-000091000000}"/>
    <cellStyle name="20% - Accent1 5 3 2" xfId="13368" xr:uid="{542C3062-9F4A-41E3-8110-FCEE1460F62C}"/>
    <cellStyle name="20% - Accent1 5 3 3" xfId="21815" xr:uid="{3B9C6531-B1E1-4E44-BD55-BD44830D04EE}"/>
    <cellStyle name="20% - Accent1 5 4" xfId="9150" xr:uid="{62C2ADD1-E125-4462-9D70-5286563D4183}"/>
    <cellStyle name="20% - Accent1 5 5" xfId="17598" xr:uid="{44CB5BBF-F76B-48AF-90F4-5824DD25D2B0}"/>
    <cellStyle name="20% - Accent1 6" xfId="1023" xr:uid="{00000000-0005-0000-0000-000092000000}"/>
    <cellStyle name="20% - Accent1 6 2" xfId="3254" xr:uid="{00000000-0005-0000-0000-000093000000}"/>
    <cellStyle name="20% - Accent1 6 2 2" xfId="7476" xr:uid="{00000000-0005-0000-0000-000094000000}"/>
    <cellStyle name="20% - Accent1 6 2 2 2" xfId="15926" xr:uid="{009B2802-2917-44CF-A264-8A7EA9DF0DA2}"/>
    <cellStyle name="20% - Accent1 6 2 2 3" xfId="24373" xr:uid="{33E8B96F-3FDF-467C-BCB1-8428EC61C123}"/>
    <cellStyle name="20% - Accent1 6 2 3" xfId="11708" xr:uid="{4E2B6FC4-9438-41E2-8AE7-4A9B15826EE1}"/>
    <cellStyle name="20% - Accent1 6 2 4" xfId="20156" xr:uid="{4EDA5AD8-1829-4492-AF28-64A40E2F2D0C}"/>
    <cellStyle name="20% - Accent1 6 3" xfId="5331" xr:uid="{00000000-0005-0000-0000-000095000000}"/>
    <cellStyle name="20% - Accent1 6 3 2" xfId="13781" xr:uid="{65E15D32-94E6-472B-8ABD-FE04DEC793E8}"/>
    <cellStyle name="20% - Accent1 6 3 3" xfId="22228" xr:uid="{A86CF7A5-E434-47C8-BC68-2CEDA5F01932}"/>
    <cellStyle name="20% - Accent1 6 4" xfId="9563" xr:uid="{56A4F6D4-85A9-4B2D-B9F0-9309C5A29392}"/>
    <cellStyle name="20% - Accent1 6 5" xfId="18011" xr:uid="{F446BBC1-DE1C-4537-9EA8-2D54CCB36143}"/>
    <cellStyle name="20% - Accent1 7" xfId="1437" xr:uid="{00000000-0005-0000-0000-000096000000}"/>
    <cellStyle name="20% - Accent1 7 2" xfId="3667" xr:uid="{00000000-0005-0000-0000-000097000000}"/>
    <cellStyle name="20% - Accent1 7 2 2" xfId="7889" xr:uid="{00000000-0005-0000-0000-000098000000}"/>
    <cellStyle name="20% - Accent1 7 2 2 2" xfId="16339" xr:uid="{ECA20521-ABF8-4386-8517-A693988206E2}"/>
    <cellStyle name="20% - Accent1 7 2 2 3" xfId="24786" xr:uid="{8CB996F3-C743-4392-9E64-582F261742C1}"/>
    <cellStyle name="20% - Accent1 7 2 3" xfId="12121" xr:uid="{86FD8042-AC6C-4BD5-BCD3-599D8B8A7F35}"/>
    <cellStyle name="20% - Accent1 7 2 4" xfId="20569" xr:uid="{E581ED72-B666-4D1E-AEFF-93C1497CC5A9}"/>
    <cellStyle name="20% - Accent1 7 3" xfId="5744" xr:uid="{00000000-0005-0000-0000-000099000000}"/>
    <cellStyle name="20% - Accent1 7 3 2" xfId="14194" xr:uid="{21B41776-FAD8-416B-847C-E2B7601CB96F}"/>
    <cellStyle name="20% - Accent1 7 3 3" xfId="22641" xr:uid="{F22FB2EB-EDE1-4B3C-B694-0A7F89A21905}"/>
    <cellStyle name="20% - Accent1 7 4" xfId="9976" xr:uid="{EC602331-F7BE-4969-90B3-4DD43AA63885}"/>
    <cellStyle name="20% - Accent1 7 5" xfId="18424" xr:uid="{8CE3B601-F688-4CE4-8245-E24F8D636869}"/>
    <cellStyle name="20% - Accent1 8" xfId="1851" xr:uid="{00000000-0005-0000-0000-00009A000000}"/>
    <cellStyle name="20% - Accent1 8 2" xfId="4080" xr:uid="{00000000-0005-0000-0000-00009B000000}"/>
    <cellStyle name="20% - Accent1 8 2 2" xfId="8302" xr:uid="{00000000-0005-0000-0000-00009C000000}"/>
    <cellStyle name="20% - Accent1 8 2 2 2" xfId="16752" xr:uid="{CBD37949-A2A8-40D5-8B90-B214FB2276C3}"/>
    <cellStyle name="20% - Accent1 8 2 2 3" xfId="25199" xr:uid="{7D4B48FE-0EF7-4AC2-A4A2-F7896A550657}"/>
    <cellStyle name="20% - Accent1 8 2 3" xfId="12534" xr:uid="{976119CB-C452-4203-965A-B57BE304A8FB}"/>
    <cellStyle name="20% - Accent1 8 2 4" xfId="20982" xr:uid="{333024E5-C87B-4BE8-B9C8-3AE1A2DCEEA9}"/>
    <cellStyle name="20% - Accent1 8 3" xfId="6157" xr:uid="{00000000-0005-0000-0000-00009D000000}"/>
    <cellStyle name="20% - Accent1 8 3 2" xfId="14607" xr:uid="{6602E04D-8303-47D5-9375-7E6CED44DC01}"/>
    <cellStyle name="20% - Accent1 8 3 3" xfId="23054" xr:uid="{C383CC60-C0BC-40C0-9AF7-698B7C2E1252}"/>
    <cellStyle name="20% - Accent1 8 4" xfId="10389" xr:uid="{204EC2AE-B7FD-4417-B8FE-F5DAC9FB48B5}"/>
    <cellStyle name="20% - Accent1 8 5" xfId="18837" xr:uid="{90E8B3EB-1242-4BEE-BAC1-8775DE6EC2A9}"/>
    <cellStyle name="20% - Accent1 9" xfId="2264" xr:uid="{00000000-0005-0000-0000-00009E000000}"/>
    <cellStyle name="20% - Accent1 9 2" xfId="6570" xr:uid="{00000000-0005-0000-0000-00009F000000}"/>
    <cellStyle name="20% - Accent1 9 2 2" xfId="15020" xr:uid="{9DAA03E7-B476-4725-9CE6-0112C66E2989}"/>
    <cellStyle name="20% - Accent1 9 2 3" xfId="23467" xr:uid="{A4789F25-BC29-40FE-A607-B43AF7319B8B}"/>
    <cellStyle name="20% - Accent1 9 3" xfId="10802" xr:uid="{0143FD15-0200-4925-A411-CD06810F2956}"/>
    <cellStyle name="20% - Accent1 9 4" xfId="19250" xr:uid="{16E5CE7B-D967-426F-AB4A-4739FB8D782A}"/>
    <cellStyle name="20% - Accent2" xfId="9" builtinId="34" customBuiltin="1"/>
    <cellStyle name="20% - Accent2 10" xfId="4512" xr:uid="{00000000-0005-0000-0000-0000A1000000}"/>
    <cellStyle name="20% - Accent2 10 2" xfId="12962" xr:uid="{138CE55C-5355-4B45-978B-3F8F5F20D99E}"/>
    <cellStyle name="20% - Accent2 10 3" xfId="21409" xr:uid="{A85B3A17-325D-4E43-B756-CD543C538DFB}"/>
    <cellStyle name="20% - Accent2 11" xfId="8744" xr:uid="{815681AD-07C9-4DF5-8D28-7B063FA8C765}"/>
    <cellStyle name="20% - Accent2 12" xfId="17192" xr:uid="{511243A0-A760-45B6-A443-038421D78377}"/>
    <cellStyle name="20% - Accent2 2" xfId="10" xr:uid="{00000000-0005-0000-0000-0000A2000000}"/>
    <cellStyle name="20% - Accent2 2 10" xfId="8745" xr:uid="{CEFAD06E-1539-4921-A37D-E4BC7D3147BF}"/>
    <cellStyle name="20% - Accent2 2 11" xfId="17193" xr:uid="{DF2C1F7B-23B9-4BF5-AF70-EDA7729F6F8E}"/>
    <cellStyle name="20% - Accent2 2 2" xfId="11" xr:uid="{00000000-0005-0000-0000-0000A3000000}"/>
    <cellStyle name="20% - Accent2 2 2 10" xfId="17194" xr:uid="{978AEA9E-A5BD-421C-ACB3-F279A7AD58D7}"/>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2 2 2" xfId="15524" xr:uid="{6503334A-8ED1-4134-A1D2-476605F77271}"/>
    <cellStyle name="20% - Accent2 2 2 2 2 2 2 3" xfId="23971" xr:uid="{36CBE835-C305-41E9-82EC-26F80BE6840D}"/>
    <cellStyle name="20% - Accent2 2 2 2 2 2 3" xfId="11306" xr:uid="{B6CF273C-8EE5-496D-B1BB-2A126E75A4D2}"/>
    <cellStyle name="20% - Accent2 2 2 2 2 2 4" xfId="19754" xr:uid="{10142796-87AA-44E1-94DF-E55B20499389}"/>
    <cellStyle name="20% - Accent2 2 2 2 2 3" xfId="4929" xr:uid="{00000000-0005-0000-0000-0000A8000000}"/>
    <cellStyle name="20% - Accent2 2 2 2 2 3 2" xfId="13379" xr:uid="{6E8B2EE2-1E63-45E4-BFE7-228192DB216F}"/>
    <cellStyle name="20% - Accent2 2 2 2 2 3 3" xfId="21826" xr:uid="{4E76EC9B-CE11-44EB-9B1A-2BCC52F10237}"/>
    <cellStyle name="20% - Accent2 2 2 2 2 4" xfId="9161" xr:uid="{C294536F-C5A6-4A22-8F35-30F8D1160039}"/>
    <cellStyle name="20% - Accent2 2 2 2 2 5" xfId="17609" xr:uid="{AE64C7B1-0AB6-48D6-93C4-1562A84A97B4}"/>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2 2 2" xfId="15937" xr:uid="{C8F10292-DCB0-4F42-A46D-7BAF0DCD69A6}"/>
    <cellStyle name="20% - Accent2 2 2 2 3 2 2 3" xfId="24384" xr:uid="{9C429C69-4DD4-477A-9F21-5239F6A414EE}"/>
    <cellStyle name="20% - Accent2 2 2 2 3 2 3" xfId="11719" xr:uid="{42173DCB-6212-414B-9CD8-5C1E0C18604C}"/>
    <cellStyle name="20% - Accent2 2 2 2 3 2 4" xfId="20167" xr:uid="{19B5F356-F514-4D50-9B37-9C458F138C4D}"/>
    <cellStyle name="20% - Accent2 2 2 2 3 3" xfId="5342" xr:uid="{00000000-0005-0000-0000-0000AC000000}"/>
    <cellStyle name="20% - Accent2 2 2 2 3 3 2" xfId="13792" xr:uid="{15D543EE-0C00-4CEF-8185-048D843780AF}"/>
    <cellStyle name="20% - Accent2 2 2 2 3 3 3" xfId="22239" xr:uid="{70E59973-0E49-4C07-BD20-B2A1118D60EF}"/>
    <cellStyle name="20% - Accent2 2 2 2 3 4" xfId="9574" xr:uid="{522A6A6D-E372-4091-BE77-1A358237B72A}"/>
    <cellStyle name="20% - Accent2 2 2 2 3 5" xfId="18022" xr:uid="{F3E8FA55-CEA3-40DF-9566-481EDCA0C7CD}"/>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2 2 2" xfId="16350" xr:uid="{0CB8F9D3-E528-481E-915B-3FA574536BCC}"/>
    <cellStyle name="20% - Accent2 2 2 2 4 2 2 3" xfId="24797" xr:uid="{EBA1D4FF-D7AB-4229-AA98-2074F0D4A4FB}"/>
    <cellStyle name="20% - Accent2 2 2 2 4 2 3" xfId="12132" xr:uid="{1FE12FD8-69E9-440E-80C3-A77DF17BB883}"/>
    <cellStyle name="20% - Accent2 2 2 2 4 2 4" xfId="20580" xr:uid="{A3DEC5C2-8E2D-42AF-B47E-F1B46F78C977}"/>
    <cellStyle name="20% - Accent2 2 2 2 4 3" xfId="5755" xr:uid="{00000000-0005-0000-0000-0000B0000000}"/>
    <cellStyle name="20% - Accent2 2 2 2 4 3 2" xfId="14205" xr:uid="{ABA53CEE-D1E8-4D48-96E0-AAF606FC5D6A}"/>
    <cellStyle name="20% - Accent2 2 2 2 4 3 3" xfId="22652" xr:uid="{E8840F6A-4845-4070-8337-C914C530FB91}"/>
    <cellStyle name="20% - Accent2 2 2 2 4 4" xfId="9987" xr:uid="{EEE99C9E-CCA8-4DC6-8118-2774192C395D}"/>
    <cellStyle name="20% - Accent2 2 2 2 4 5" xfId="18435" xr:uid="{42EF70DF-A106-4D99-9A5C-7F014D5E4436}"/>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2 2 2" xfId="16763" xr:uid="{107E8BF2-C294-4803-81CD-CF38FAADEA44}"/>
    <cellStyle name="20% - Accent2 2 2 2 5 2 2 3" xfId="25210" xr:uid="{4AD6B333-D8ED-4BD1-8DE4-85FDDA35FC1B}"/>
    <cellStyle name="20% - Accent2 2 2 2 5 2 3" xfId="12545" xr:uid="{8D266901-4579-4ADA-BF3C-4218207EA880}"/>
    <cellStyle name="20% - Accent2 2 2 2 5 2 4" xfId="20993" xr:uid="{E5C65E6D-2B34-425D-AE12-DB9C2D37284F}"/>
    <cellStyle name="20% - Accent2 2 2 2 5 3" xfId="6168" xr:uid="{00000000-0005-0000-0000-0000B4000000}"/>
    <cellStyle name="20% - Accent2 2 2 2 5 3 2" xfId="14618" xr:uid="{9DDC81FC-F629-4A5F-A57B-65073CB6D11C}"/>
    <cellStyle name="20% - Accent2 2 2 2 5 3 3" xfId="23065" xr:uid="{09A15A87-2605-4875-8EEB-4CBCBE8EA038}"/>
    <cellStyle name="20% - Accent2 2 2 2 5 4" xfId="10400" xr:uid="{E1F3725D-4B00-400F-BFCC-BC63B7B333FC}"/>
    <cellStyle name="20% - Accent2 2 2 2 5 5" xfId="18848" xr:uid="{A24D9271-AD28-40A5-9208-2395512935F6}"/>
    <cellStyle name="20% - Accent2 2 2 2 6" xfId="2275" xr:uid="{00000000-0005-0000-0000-0000B5000000}"/>
    <cellStyle name="20% - Accent2 2 2 2 6 2" xfId="6581" xr:uid="{00000000-0005-0000-0000-0000B6000000}"/>
    <cellStyle name="20% - Accent2 2 2 2 6 2 2" xfId="15031" xr:uid="{9F5F509C-14DF-4328-A7D9-B57CCF3730C7}"/>
    <cellStyle name="20% - Accent2 2 2 2 6 2 3" xfId="23478" xr:uid="{5DFF1F6C-77A0-4E9C-A858-0465107329AF}"/>
    <cellStyle name="20% - Accent2 2 2 2 6 3" xfId="10813" xr:uid="{2E2BBBDE-6B52-40F4-8662-B74084C88E4F}"/>
    <cellStyle name="20% - Accent2 2 2 2 6 4" xfId="19261" xr:uid="{F416FDEF-D5AA-404B-BA35-421EB0E499D1}"/>
    <cellStyle name="20% - Accent2 2 2 2 7" xfId="4515" xr:uid="{00000000-0005-0000-0000-0000B7000000}"/>
    <cellStyle name="20% - Accent2 2 2 2 7 2" xfId="12965" xr:uid="{862E7993-9CE4-40A0-AF04-3AE54BCF9C20}"/>
    <cellStyle name="20% - Accent2 2 2 2 7 3" xfId="21412" xr:uid="{13D06707-84C5-4698-A393-E086B89E56E3}"/>
    <cellStyle name="20% - Accent2 2 2 2 8" xfId="8747" xr:uid="{8A697B06-5C38-4C9A-A303-D31F78D8DA00}"/>
    <cellStyle name="20% - Accent2 2 2 2 9" xfId="17195" xr:uid="{6DE2B6F8-61E3-4DB5-97FC-C2FB663A83E1}"/>
    <cellStyle name="20% - Accent2 2 2 3" xfId="580" xr:uid="{00000000-0005-0000-0000-0000B8000000}"/>
    <cellStyle name="20% - Accent2 2 2 3 2" xfId="2851" xr:uid="{00000000-0005-0000-0000-0000B9000000}"/>
    <cellStyle name="20% - Accent2 2 2 3 2 2" xfId="7073" xr:uid="{00000000-0005-0000-0000-0000BA000000}"/>
    <cellStyle name="20% - Accent2 2 2 3 2 2 2" xfId="15523" xr:uid="{0213B1E3-B2C9-4824-B22C-A7378CB36336}"/>
    <cellStyle name="20% - Accent2 2 2 3 2 2 3" xfId="23970" xr:uid="{2CA7E446-155E-45E9-9E7F-B1962342ED31}"/>
    <cellStyle name="20% - Accent2 2 2 3 2 3" xfId="11305" xr:uid="{8BCE7986-3F7E-45A8-90B7-95FD81925A5E}"/>
    <cellStyle name="20% - Accent2 2 2 3 2 4" xfId="19753" xr:uid="{B6194ADD-B64F-4813-A9BC-0984B144A269}"/>
    <cellStyle name="20% - Accent2 2 2 3 3" xfId="4928" xr:uid="{00000000-0005-0000-0000-0000BB000000}"/>
    <cellStyle name="20% - Accent2 2 2 3 3 2" xfId="13378" xr:uid="{06B585CF-9921-4C39-AFEF-B561B85F6BCC}"/>
    <cellStyle name="20% - Accent2 2 2 3 3 3" xfId="21825" xr:uid="{0579739D-71A7-403A-BE07-A0CB253C5D8B}"/>
    <cellStyle name="20% - Accent2 2 2 3 4" xfId="9160" xr:uid="{0BEAC4CD-F004-4B6F-BB78-7C4CF758D74C}"/>
    <cellStyle name="20% - Accent2 2 2 3 5" xfId="17608" xr:uid="{53392FD4-E6C7-454C-8879-BFE3CAD246C7}"/>
    <cellStyle name="20% - Accent2 2 2 4" xfId="1033" xr:uid="{00000000-0005-0000-0000-0000BC000000}"/>
    <cellStyle name="20% - Accent2 2 2 4 2" xfId="3264" xr:uid="{00000000-0005-0000-0000-0000BD000000}"/>
    <cellStyle name="20% - Accent2 2 2 4 2 2" xfId="7486" xr:uid="{00000000-0005-0000-0000-0000BE000000}"/>
    <cellStyle name="20% - Accent2 2 2 4 2 2 2" xfId="15936" xr:uid="{7A812612-B675-49E9-ABDA-74CD0E54D722}"/>
    <cellStyle name="20% - Accent2 2 2 4 2 2 3" xfId="24383" xr:uid="{2F771354-9F5B-42D9-B961-8AD70EA40DFA}"/>
    <cellStyle name="20% - Accent2 2 2 4 2 3" xfId="11718" xr:uid="{4EB5362D-155C-4057-85EE-D9A960DE416B}"/>
    <cellStyle name="20% - Accent2 2 2 4 2 4" xfId="20166" xr:uid="{15BAF648-B8DE-4071-A9FF-ECE65E7E1F4D}"/>
    <cellStyle name="20% - Accent2 2 2 4 3" xfId="5341" xr:uid="{00000000-0005-0000-0000-0000BF000000}"/>
    <cellStyle name="20% - Accent2 2 2 4 3 2" xfId="13791" xr:uid="{8499CEF4-8BC1-41BE-9C69-7D60435FF754}"/>
    <cellStyle name="20% - Accent2 2 2 4 3 3" xfId="22238" xr:uid="{F824AF00-DBF5-46AC-AA31-BBF686EF05C8}"/>
    <cellStyle name="20% - Accent2 2 2 4 4" xfId="9573" xr:uid="{2E76D3A3-2F00-42D3-AFD6-F603AA63BB69}"/>
    <cellStyle name="20% - Accent2 2 2 4 5" xfId="18021" xr:uid="{827EB9CD-4216-4D66-850E-2FAC8F010143}"/>
    <cellStyle name="20% - Accent2 2 2 5" xfId="1447" xr:uid="{00000000-0005-0000-0000-0000C0000000}"/>
    <cellStyle name="20% - Accent2 2 2 5 2" xfId="3677" xr:uid="{00000000-0005-0000-0000-0000C1000000}"/>
    <cellStyle name="20% - Accent2 2 2 5 2 2" xfId="7899" xr:uid="{00000000-0005-0000-0000-0000C2000000}"/>
    <cellStyle name="20% - Accent2 2 2 5 2 2 2" xfId="16349" xr:uid="{3AF1EE91-D5E3-45C4-8D30-B81BBF02FBCF}"/>
    <cellStyle name="20% - Accent2 2 2 5 2 2 3" xfId="24796" xr:uid="{7206817F-B579-45FC-9272-EF2C20D90004}"/>
    <cellStyle name="20% - Accent2 2 2 5 2 3" xfId="12131" xr:uid="{6D7F2F48-A568-42BA-8011-164006E254F8}"/>
    <cellStyle name="20% - Accent2 2 2 5 2 4" xfId="20579" xr:uid="{EBBC1BB7-CF96-486F-A6CE-0CE1B7164C75}"/>
    <cellStyle name="20% - Accent2 2 2 5 3" xfId="5754" xr:uid="{00000000-0005-0000-0000-0000C3000000}"/>
    <cellStyle name="20% - Accent2 2 2 5 3 2" xfId="14204" xr:uid="{7372FD97-0492-470B-AA55-6B70790E69AF}"/>
    <cellStyle name="20% - Accent2 2 2 5 3 3" xfId="22651" xr:uid="{70A8DA9F-BCEA-4143-896A-E1DE605EC065}"/>
    <cellStyle name="20% - Accent2 2 2 5 4" xfId="9986" xr:uid="{1754AE57-C9F3-4637-AFBF-8B20EE3F455B}"/>
    <cellStyle name="20% - Accent2 2 2 5 5" xfId="18434" xr:uid="{B06811EB-F922-48C6-81E7-5C2DDCEBFFEB}"/>
    <cellStyle name="20% - Accent2 2 2 6" xfId="1861" xr:uid="{00000000-0005-0000-0000-0000C4000000}"/>
    <cellStyle name="20% - Accent2 2 2 6 2" xfId="4090" xr:uid="{00000000-0005-0000-0000-0000C5000000}"/>
    <cellStyle name="20% - Accent2 2 2 6 2 2" xfId="8312" xr:uid="{00000000-0005-0000-0000-0000C6000000}"/>
    <cellStyle name="20% - Accent2 2 2 6 2 2 2" xfId="16762" xr:uid="{D8FC8C8A-32CD-4D34-B857-8134391D8056}"/>
    <cellStyle name="20% - Accent2 2 2 6 2 2 3" xfId="25209" xr:uid="{31790FF4-07B5-4287-971C-4C3D4565CF0E}"/>
    <cellStyle name="20% - Accent2 2 2 6 2 3" xfId="12544" xr:uid="{A8C9CA21-736A-43E9-8C05-A864BB90A01F}"/>
    <cellStyle name="20% - Accent2 2 2 6 2 4" xfId="20992" xr:uid="{CC427D64-D247-48FA-BEA3-4EEC3FA488C6}"/>
    <cellStyle name="20% - Accent2 2 2 6 3" xfId="6167" xr:uid="{00000000-0005-0000-0000-0000C7000000}"/>
    <cellStyle name="20% - Accent2 2 2 6 3 2" xfId="14617" xr:uid="{4BF8E6B9-8D2C-4A88-9F0A-960A488C81F3}"/>
    <cellStyle name="20% - Accent2 2 2 6 3 3" xfId="23064" xr:uid="{3F2CF5BD-E70F-4324-A512-12E305610EE3}"/>
    <cellStyle name="20% - Accent2 2 2 6 4" xfId="10399" xr:uid="{34B99270-BE16-49ED-BAD8-61C456373349}"/>
    <cellStyle name="20% - Accent2 2 2 6 5" xfId="18847" xr:uid="{C13DC984-074B-4CB9-9491-E927B855DB32}"/>
    <cellStyle name="20% - Accent2 2 2 7" xfId="2274" xr:uid="{00000000-0005-0000-0000-0000C8000000}"/>
    <cellStyle name="20% - Accent2 2 2 7 2" xfId="6580" xr:uid="{00000000-0005-0000-0000-0000C9000000}"/>
    <cellStyle name="20% - Accent2 2 2 7 2 2" xfId="15030" xr:uid="{92751552-06E0-400C-A9FA-4AC630A5AA1D}"/>
    <cellStyle name="20% - Accent2 2 2 7 2 3" xfId="23477" xr:uid="{B70A21C1-4934-4233-9E54-83364F5F4EDB}"/>
    <cellStyle name="20% - Accent2 2 2 7 3" xfId="10812" xr:uid="{812B9198-5CFE-4166-BE7B-CF1E788083A9}"/>
    <cellStyle name="20% - Accent2 2 2 7 4" xfId="19260" xr:uid="{BAF3B633-89B3-458F-A90D-27ECC5A22AA2}"/>
    <cellStyle name="20% - Accent2 2 2 8" xfId="4514" xr:uid="{00000000-0005-0000-0000-0000CA000000}"/>
    <cellStyle name="20% - Accent2 2 2 8 2" xfId="12964" xr:uid="{A06A13E3-44B0-4CC2-B10E-A6CBDD506504}"/>
    <cellStyle name="20% - Accent2 2 2 8 3" xfId="21411" xr:uid="{88E38513-5F39-49D3-86F4-71A49FA40619}"/>
    <cellStyle name="20% - Accent2 2 2 9" xfId="8746" xr:uid="{1CE6A5AF-99F5-4577-99EC-DD27FD1587AF}"/>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2 2 2" xfId="15525" xr:uid="{1CA811F2-0DE5-4865-9773-F099F728FD21}"/>
    <cellStyle name="20% - Accent2 2 3 2 2 2 3" xfId="23972" xr:uid="{AB899EA4-1765-459F-AC66-A68B6E01818E}"/>
    <cellStyle name="20% - Accent2 2 3 2 2 3" xfId="11307" xr:uid="{1EFA86AB-4B34-4AD8-AEA2-2018F7186972}"/>
    <cellStyle name="20% - Accent2 2 3 2 2 4" xfId="19755" xr:uid="{AA1D9209-349E-4863-ABD4-CD82A0F0F64A}"/>
    <cellStyle name="20% - Accent2 2 3 2 3" xfId="4930" xr:uid="{00000000-0005-0000-0000-0000CF000000}"/>
    <cellStyle name="20% - Accent2 2 3 2 3 2" xfId="13380" xr:uid="{AAB50BF4-6B7E-40DC-8BEF-44F8C6F2F898}"/>
    <cellStyle name="20% - Accent2 2 3 2 3 3" xfId="21827" xr:uid="{0B930E0B-B944-4895-B028-A12302DCAFD7}"/>
    <cellStyle name="20% - Accent2 2 3 2 4" xfId="9162" xr:uid="{8E74BA8F-5B9A-4481-B0C3-77D25C94CF4F}"/>
    <cellStyle name="20% - Accent2 2 3 2 5" xfId="17610" xr:uid="{38D9520F-8366-43CD-92E8-CA7DEFF8237C}"/>
    <cellStyle name="20% - Accent2 2 3 3" xfId="1035" xr:uid="{00000000-0005-0000-0000-0000D0000000}"/>
    <cellStyle name="20% - Accent2 2 3 3 2" xfId="3266" xr:uid="{00000000-0005-0000-0000-0000D1000000}"/>
    <cellStyle name="20% - Accent2 2 3 3 2 2" xfId="7488" xr:uid="{00000000-0005-0000-0000-0000D2000000}"/>
    <cellStyle name="20% - Accent2 2 3 3 2 2 2" xfId="15938" xr:uid="{2DEDE306-F7C9-4817-8B25-38FEE00DE0BE}"/>
    <cellStyle name="20% - Accent2 2 3 3 2 2 3" xfId="24385" xr:uid="{39D51D76-A8C7-48A8-A8A3-7AAB68E2AF45}"/>
    <cellStyle name="20% - Accent2 2 3 3 2 3" xfId="11720" xr:uid="{D1DDB037-A7AA-4F99-AE96-FA2FC072FDFC}"/>
    <cellStyle name="20% - Accent2 2 3 3 2 4" xfId="20168" xr:uid="{FE91B67A-4924-48C0-98B1-C1A34F3F00BE}"/>
    <cellStyle name="20% - Accent2 2 3 3 3" xfId="5343" xr:uid="{00000000-0005-0000-0000-0000D3000000}"/>
    <cellStyle name="20% - Accent2 2 3 3 3 2" xfId="13793" xr:uid="{ED26A88B-B9C3-4094-9C14-732B627CDA19}"/>
    <cellStyle name="20% - Accent2 2 3 3 3 3" xfId="22240" xr:uid="{E343D705-989F-48F1-A3AD-152D8598D502}"/>
    <cellStyle name="20% - Accent2 2 3 3 4" xfId="9575" xr:uid="{A12AB9BB-3C95-4314-B2CD-4B972DAD0377}"/>
    <cellStyle name="20% - Accent2 2 3 3 5" xfId="18023" xr:uid="{A50B1300-874C-4BE8-A8CF-B394D3DE6AEE}"/>
    <cellStyle name="20% - Accent2 2 3 4" xfId="1449" xr:uid="{00000000-0005-0000-0000-0000D4000000}"/>
    <cellStyle name="20% - Accent2 2 3 4 2" xfId="3679" xr:uid="{00000000-0005-0000-0000-0000D5000000}"/>
    <cellStyle name="20% - Accent2 2 3 4 2 2" xfId="7901" xr:uid="{00000000-0005-0000-0000-0000D6000000}"/>
    <cellStyle name="20% - Accent2 2 3 4 2 2 2" xfId="16351" xr:uid="{7CC0B3C3-209D-4159-B2F1-F809FBF082E4}"/>
    <cellStyle name="20% - Accent2 2 3 4 2 2 3" xfId="24798" xr:uid="{797656E8-9F67-4F84-BC0A-958A53B43198}"/>
    <cellStyle name="20% - Accent2 2 3 4 2 3" xfId="12133" xr:uid="{F3D6ABD0-B420-415F-9F1D-23545EC5EA4E}"/>
    <cellStyle name="20% - Accent2 2 3 4 2 4" xfId="20581" xr:uid="{EA1A60C6-257A-4910-8294-20A3E4ADF9E2}"/>
    <cellStyle name="20% - Accent2 2 3 4 3" xfId="5756" xr:uid="{00000000-0005-0000-0000-0000D7000000}"/>
    <cellStyle name="20% - Accent2 2 3 4 3 2" xfId="14206" xr:uid="{2052E870-F1A6-433D-A94E-783581932953}"/>
    <cellStyle name="20% - Accent2 2 3 4 3 3" xfId="22653" xr:uid="{C48CB977-F770-4708-9FDE-5A9B16DF6963}"/>
    <cellStyle name="20% - Accent2 2 3 4 4" xfId="9988" xr:uid="{907A548B-5E5B-4955-85F6-747BAE0FC9EA}"/>
    <cellStyle name="20% - Accent2 2 3 4 5" xfId="18436" xr:uid="{32F7E094-1E84-45A0-8BD2-58005DF16106}"/>
    <cellStyle name="20% - Accent2 2 3 5" xfId="1863" xr:uid="{00000000-0005-0000-0000-0000D8000000}"/>
    <cellStyle name="20% - Accent2 2 3 5 2" xfId="4092" xr:uid="{00000000-0005-0000-0000-0000D9000000}"/>
    <cellStyle name="20% - Accent2 2 3 5 2 2" xfId="8314" xr:uid="{00000000-0005-0000-0000-0000DA000000}"/>
    <cellStyle name="20% - Accent2 2 3 5 2 2 2" xfId="16764" xr:uid="{186FD72D-A837-4F8D-975F-327192B050FA}"/>
    <cellStyle name="20% - Accent2 2 3 5 2 2 3" xfId="25211" xr:uid="{F3AE6CF6-AEAA-40EB-BDE8-D403B8885F5C}"/>
    <cellStyle name="20% - Accent2 2 3 5 2 3" xfId="12546" xr:uid="{58EDB94D-E2EB-4D8A-B7B1-99ACA684B23A}"/>
    <cellStyle name="20% - Accent2 2 3 5 2 4" xfId="20994" xr:uid="{20FDF3D6-7B43-431F-B5C7-6815FADFA9B4}"/>
    <cellStyle name="20% - Accent2 2 3 5 3" xfId="6169" xr:uid="{00000000-0005-0000-0000-0000DB000000}"/>
    <cellStyle name="20% - Accent2 2 3 5 3 2" xfId="14619" xr:uid="{5CC83704-8308-4349-B23A-82E6C04058A0}"/>
    <cellStyle name="20% - Accent2 2 3 5 3 3" xfId="23066" xr:uid="{89ADA4EB-C618-497C-8EF4-687BE19918D0}"/>
    <cellStyle name="20% - Accent2 2 3 5 4" xfId="10401" xr:uid="{F096E519-00E4-4F69-9F7F-42FC8946874E}"/>
    <cellStyle name="20% - Accent2 2 3 5 5" xfId="18849" xr:uid="{917BDDBE-85FA-40CD-BD9B-44279D06B647}"/>
    <cellStyle name="20% - Accent2 2 3 6" xfId="2276" xr:uid="{00000000-0005-0000-0000-0000DC000000}"/>
    <cellStyle name="20% - Accent2 2 3 6 2" xfId="6582" xr:uid="{00000000-0005-0000-0000-0000DD000000}"/>
    <cellStyle name="20% - Accent2 2 3 6 2 2" xfId="15032" xr:uid="{6D6F9BD5-1449-4FC7-B744-1117BD4FACB8}"/>
    <cellStyle name="20% - Accent2 2 3 6 2 3" xfId="23479" xr:uid="{09CDB6F2-3867-446B-AC0E-3B14C0C9CAC3}"/>
    <cellStyle name="20% - Accent2 2 3 6 3" xfId="10814" xr:uid="{D3363AE2-A6C8-41E6-B9A8-3D85C1564809}"/>
    <cellStyle name="20% - Accent2 2 3 6 4" xfId="19262" xr:uid="{08AAF1E3-5D31-4AAA-A92D-F21168D70A53}"/>
    <cellStyle name="20% - Accent2 2 3 7" xfId="4516" xr:uid="{00000000-0005-0000-0000-0000DE000000}"/>
    <cellStyle name="20% - Accent2 2 3 7 2" xfId="12966" xr:uid="{6E360B06-EDC8-47D9-82F6-4A9CE95D58B7}"/>
    <cellStyle name="20% - Accent2 2 3 7 3" xfId="21413" xr:uid="{86537086-0824-40FE-98D7-74ACBCDD6A20}"/>
    <cellStyle name="20% - Accent2 2 3 8" xfId="8748" xr:uid="{D9D3C0CD-9E88-45C3-9704-E39289CD71FD}"/>
    <cellStyle name="20% - Accent2 2 3 9" xfId="17196" xr:uid="{E35F9DCD-3E5D-4B5C-B1C7-39039D6A1A23}"/>
    <cellStyle name="20% - Accent2 2 4" xfId="579" xr:uid="{00000000-0005-0000-0000-0000DF000000}"/>
    <cellStyle name="20% - Accent2 2 4 2" xfId="2850" xr:uid="{00000000-0005-0000-0000-0000E0000000}"/>
    <cellStyle name="20% - Accent2 2 4 2 2" xfId="7072" xr:uid="{00000000-0005-0000-0000-0000E1000000}"/>
    <cellStyle name="20% - Accent2 2 4 2 2 2" xfId="15522" xr:uid="{CA1F8786-ECA3-4480-A04C-E2245B93552C}"/>
    <cellStyle name="20% - Accent2 2 4 2 2 3" xfId="23969" xr:uid="{9E5E751F-D25F-4FC3-A089-66761581E350}"/>
    <cellStyle name="20% - Accent2 2 4 2 3" xfId="11304" xr:uid="{2B84CB3E-2277-43EA-8611-768179DF4877}"/>
    <cellStyle name="20% - Accent2 2 4 2 4" xfId="19752" xr:uid="{10455ED0-4FCC-47D9-955F-70097775F11B}"/>
    <cellStyle name="20% - Accent2 2 4 3" xfId="4927" xr:uid="{00000000-0005-0000-0000-0000E2000000}"/>
    <cellStyle name="20% - Accent2 2 4 3 2" xfId="13377" xr:uid="{EC057B3C-6105-4391-920C-C25ACD5352DA}"/>
    <cellStyle name="20% - Accent2 2 4 3 3" xfId="21824" xr:uid="{185FB736-4E92-490A-8C22-B6B63BEC6130}"/>
    <cellStyle name="20% - Accent2 2 4 4" xfId="9159" xr:uid="{85C15296-3B12-4713-9D0F-30C60AFFC963}"/>
    <cellStyle name="20% - Accent2 2 4 5" xfId="17607" xr:uid="{96E7FB8D-AAE4-4413-B109-D50CBF53EB80}"/>
    <cellStyle name="20% - Accent2 2 5" xfId="1032" xr:uid="{00000000-0005-0000-0000-0000E3000000}"/>
    <cellStyle name="20% - Accent2 2 5 2" xfId="3263" xr:uid="{00000000-0005-0000-0000-0000E4000000}"/>
    <cellStyle name="20% - Accent2 2 5 2 2" xfId="7485" xr:uid="{00000000-0005-0000-0000-0000E5000000}"/>
    <cellStyle name="20% - Accent2 2 5 2 2 2" xfId="15935" xr:uid="{FB869DD9-2011-4886-80D8-DE429BED4D5D}"/>
    <cellStyle name="20% - Accent2 2 5 2 2 3" xfId="24382" xr:uid="{DC54693D-CE45-409C-9469-99F0E5A072A5}"/>
    <cellStyle name="20% - Accent2 2 5 2 3" xfId="11717" xr:uid="{ADA6C781-8CF0-4EDC-A792-C541569E6A96}"/>
    <cellStyle name="20% - Accent2 2 5 2 4" xfId="20165" xr:uid="{DE9BF7B4-C2AE-4366-887A-719DE28A465E}"/>
    <cellStyle name="20% - Accent2 2 5 3" xfId="5340" xr:uid="{00000000-0005-0000-0000-0000E6000000}"/>
    <cellStyle name="20% - Accent2 2 5 3 2" xfId="13790" xr:uid="{E7D88501-D064-4583-B51F-42DDE0F63AE6}"/>
    <cellStyle name="20% - Accent2 2 5 3 3" xfId="22237" xr:uid="{0EAD4996-EE38-44A8-8A52-85F57D68FE25}"/>
    <cellStyle name="20% - Accent2 2 5 4" xfId="9572" xr:uid="{192637B7-2EAD-4E45-85CD-1FE6C772D988}"/>
    <cellStyle name="20% - Accent2 2 5 5" xfId="18020" xr:uid="{04E2A9D2-7CAB-47D2-87E3-B08C09CE94ED}"/>
    <cellStyle name="20% - Accent2 2 6" xfId="1446" xr:uid="{00000000-0005-0000-0000-0000E7000000}"/>
    <cellStyle name="20% - Accent2 2 6 2" xfId="3676" xr:uid="{00000000-0005-0000-0000-0000E8000000}"/>
    <cellStyle name="20% - Accent2 2 6 2 2" xfId="7898" xr:uid="{00000000-0005-0000-0000-0000E9000000}"/>
    <cellStyle name="20% - Accent2 2 6 2 2 2" xfId="16348" xr:uid="{43A4A1B9-A5A5-4CC4-965D-5E5CC0D7195A}"/>
    <cellStyle name="20% - Accent2 2 6 2 2 3" xfId="24795" xr:uid="{289DAC09-8BBA-4D43-9001-9F95137A8C83}"/>
    <cellStyle name="20% - Accent2 2 6 2 3" xfId="12130" xr:uid="{AC9C8714-FFE7-4229-8A6B-024594B6E4F1}"/>
    <cellStyle name="20% - Accent2 2 6 2 4" xfId="20578" xr:uid="{E0FA3BAD-B5AB-4312-8F89-E45B55BDA184}"/>
    <cellStyle name="20% - Accent2 2 6 3" xfId="5753" xr:uid="{00000000-0005-0000-0000-0000EA000000}"/>
    <cellStyle name="20% - Accent2 2 6 3 2" xfId="14203" xr:uid="{F681586A-06ED-4CAB-80F2-DE5252C69D46}"/>
    <cellStyle name="20% - Accent2 2 6 3 3" xfId="22650" xr:uid="{AF871F66-91C2-4B28-BF45-C5FC5E14CA21}"/>
    <cellStyle name="20% - Accent2 2 6 4" xfId="9985" xr:uid="{55CDCAD7-D95F-49FB-9CBD-FF5330CD975E}"/>
    <cellStyle name="20% - Accent2 2 6 5" xfId="18433" xr:uid="{DF3BABD4-5993-4A55-A5F1-A723D24E1502}"/>
    <cellStyle name="20% - Accent2 2 7" xfId="1860" xr:uid="{00000000-0005-0000-0000-0000EB000000}"/>
    <cellStyle name="20% - Accent2 2 7 2" xfId="4089" xr:uid="{00000000-0005-0000-0000-0000EC000000}"/>
    <cellStyle name="20% - Accent2 2 7 2 2" xfId="8311" xr:uid="{00000000-0005-0000-0000-0000ED000000}"/>
    <cellStyle name="20% - Accent2 2 7 2 2 2" xfId="16761" xr:uid="{F95C2069-8663-40D8-802A-26CA6DB46A3C}"/>
    <cellStyle name="20% - Accent2 2 7 2 2 3" xfId="25208" xr:uid="{F918B25B-6C6B-4361-9645-7FF3CAB12A66}"/>
    <cellStyle name="20% - Accent2 2 7 2 3" xfId="12543" xr:uid="{E53F91C2-570D-4268-BA67-E7917842EEB8}"/>
    <cellStyle name="20% - Accent2 2 7 2 4" xfId="20991" xr:uid="{B2820499-D0C1-4500-BC1C-D1B971F4E216}"/>
    <cellStyle name="20% - Accent2 2 7 3" xfId="6166" xr:uid="{00000000-0005-0000-0000-0000EE000000}"/>
    <cellStyle name="20% - Accent2 2 7 3 2" xfId="14616" xr:uid="{AD7B45C0-E378-4014-9E43-C79F6AD39E28}"/>
    <cellStyle name="20% - Accent2 2 7 3 3" xfId="23063" xr:uid="{9030A18A-2F44-4604-8711-B61D43A2713D}"/>
    <cellStyle name="20% - Accent2 2 7 4" xfId="10398" xr:uid="{BB68A02E-D142-466D-B85A-CFD2D76DB3F7}"/>
    <cellStyle name="20% - Accent2 2 7 5" xfId="18846" xr:uid="{724DB68D-D5CB-491E-AB3C-C0C699C99183}"/>
    <cellStyle name="20% - Accent2 2 8" xfId="2273" xr:uid="{00000000-0005-0000-0000-0000EF000000}"/>
    <cellStyle name="20% - Accent2 2 8 2" xfId="6579" xr:uid="{00000000-0005-0000-0000-0000F0000000}"/>
    <cellStyle name="20% - Accent2 2 8 2 2" xfId="15029" xr:uid="{081B9DD4-8E56-4DBA-86DC-40EC5642C0E1}"/>
    <cellStyle name="20% - Accent2 2 8 2 3" xfId="23476" xr:uid="{33AAC6D3-DBF7-4414-A04F-A49FC8F2E57D}"/>
    <cellStyle name="20% - Accent2 2 8 3" xfId="10811" xr:uid="{B93715D4-EE36-443A-9CC3-94AD82620EDF}"/>
    <cellStyle name="20% - Accent2 2 8 4" xfId="19259" xr:uid="{CF6A7D02-6F26-491D-ACF3-431B71AB2657}"/>
    <cellStyle name="20% - Accent2 2 9" xfId="4513" xr:uid="{00000000-0005-0000-0000-0000F1000000}"/>
    <cellStyle name="20% - Accent2 2 9 2" xfId="12963" xr:uid="{5A932C4A-E953-40CA-803A-62913ADA0FD6}"/>
    <cellStyle name="20% - Accent2 2 9 3" xfId="21410" xr:uid="{18A6534A-A976-42D0-8A7D-8F09B74BE7B0}"/>
    <cellStyle name="20% - Accent2 3" xfId="14" xr:uid="{00000000-0005-0000-0000-0000F2000000}"/>
    <cellStyle name="20% - Accent2 3 10" xfId="17197" xr:uid="{1D3E3551-0F80-4E81-8FF5-8B9DF671285B}"/>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2 2 2" xfId="15527" xr:uid="{FFB9E469-7B2F-424D-B6B5-D6DF47B1EFCE}"/>
    <cellStyle name="20% - Accent2 3 2 2 2 2 3" xfId="23974" xr:uid="{448BE9A1-328E-4C0C-ADFF-43D785272CCD}"/>
    <cellStyle name="20% - Accent2 3 2 2 2 3" xfId="11309" xr:uid="{5C04E1C3-18DC-468B-ACF2-C19CE9DE5D93}"/>
    <cellStyle name="20% - Accent2 3 2 2 2 4" xfId="19757" xr:uid="{A87F7963-0B24-4F26-AA96-D7E75AFE58FC}"/>
    <cellStyle name="20% - Accent2 3 2 2 3" xfId="4932" xr:uid="{00000000-0005-0000-0000-0000F7000000}"/>
    <cellStyle name="20% - Accent2 3 2 2 3 2" xfId="13382" xr:uid="{51B68D22-5B94-4D42-AB91-B6F9F76EBF24}"/>
    <cellStyle name="20% - Accent2 3 2 2 3 3" xfId="21829" xr:uid="{9A79012B-226A-4FF8-B386-E0438E21A439}"/>
    <cellStyle name="20% - Accent2 3 2 2 4" xfId="9164" xr:uid="{46D46406-01B7-4E12-821C-5415DFB0904C}"/>
    <cellStyle name="20% - Accent2 3 2 2 5" xfId="17612" xr:uid="{CAD9359D-F562-4244-B223-403009AD35B3}"/>
    <cellStyle name="20% - Accent2 3 2 3" xfId="1037" xr:uid="{00000000-0005-0000-0000-0000F8000000}"/>
    <cellStyle name="20% - Accent2 3 2 3 2" xfId="3268" xr:uid="{00000000-0005-0000-0000-0000F9000000}"/>
    <cellStyle name="20% - Accent2 3 2 3 2 2" xfId="7490" xr:uid="{00000000-0005-0000-0000-0000FA000000}"/>
    <cellStyle name="20% - Accent2 3 2 3 2 2 2" xfId="15940" xr:uid="{F74BA614-E4D3-4FF8-8780-F3380B48F071}"/>
    <cellStyle name="20% - Accent2 3 2 3 2 2 3" xfId="24387" xr:uid="{6DAE0583-A31F-4A24-B57D-58CBFCC04F47}"/>
    <cellStyle name="20% - Accent2 3 2 3 2 3" xfId="11722" xr:uid="{8FCB6E53-97A4-4439-B35D-1265987ADDC8}"/>
    <cellStyle name="20% - Accent2 3 2 3 2 4" xfId="20170" xr:uid="{54C3EAC5-5B37-492F-9CCA-0EB90FD85E41}"/>
    <cellStyle name="20% - Accent2 3 2 3 3" xfId="5345" xr:uid="{00000000-0005-0000-0000-0000FB000000}"/>
    <cellStyle name="20% - Accent2 3 2 3 3 2" xfId="13795" xr:uid="{E456FC09-FD77-4AAB-BA62-B3CE87F99392}"/>
    <cellStyle name="20% - Accent2 3 2 3 3 3" xfId="22242" xr:uid="{FDD2CDE6-9079-4215-A967-C2491CC9DBE2}"/>
    <cellStyle name="20% - Accent2 3 2 3 4" xfId="9577" xr:uid="{FD47435A-4B06-4351-869E-BE5D589E5930}"/>
    <cellStyle name="20% - Accent2 3 2 3 5" xfId="18025" xr:uid="{B6A33877-6495-47D9-96F4-542DD7B2ADA3}"/>
    <cellStyle name="20% - Accent2 3 2 4" xfId="1451" xr:uid="{00000000-0005-0000-0000-0000FC000000}"/>
    <cellStyle name="20% - Accent2 3 2 4 2" xfId="3681" xr:uid="{00000000-0005-0000-0000-0000FD000000}"/>
    <cellStyle name="20% - Accent2 3 2 4 2 2" xfId="7903" xr:uid="{00000000-0005-0000-0000-0000FE000000}"/>
    <cellStyle name="20% - Accent2 3 2 4 2 2 2" xfId="16353" xr:uid="{55CB84D3-12D0-4BA7-963E-CC42AA3C6296}"/>
    <cellStyle name="20% - Accent2 3 2 4 2 2 3" xfId="24800" xr:uid="{D34231A7-86E6-4DEB-B781-0DE7009BE3A0}"/>
    <cellStyle name="20% - Accent2 3 2 4 2 3" xfId="12135" xr:uid="{D53DF8D9-28F4-45B0-90E2-C7FBACF1F160}"/>
    <cellStyle name="20% - Accent2 3 2 4 2 4" xfId="20583" xr:uid="{18B50A95-B694-4765-B72A-9EE6FEBA9033}"/>
    <cellStyle name="20% - Accent2 3 2 4 3" xfId="5758" xr:uid="{00000000-0005-0000-0000-0000FF000000}"/>
    <cellStyle name="20% - Accent2 3 2 4 3 2" xfId="14208" xr:uid="{07D24A3C-0B8E-42CB-B9DC-14A1C4AEA382}"/>
    <cellStyle name="20% - Accent2 3 2 4 3 3" xfId="22655" xr:uid="{769E2A3A-FAFB-40FA-83E2-5D3306002D96}"/>
    <cellStyle name="20% - Accent2 3 2 4 4" xfId="9990" xr:uid="{71FA2E00-39D2-40B6-B02E-05901A768A36}"/>
    <cellStyle name="20% - Accent2 3 2 4 5" xfId="18438" xr:uid="{F761FDBD-F421-4B20-ADA7-1F89543806F7}"/>
    <cellStyle name="20% - Accent2 3 2 5" xfId="1865" xr:uid="{00000000-0005-0000-0000-000000010000}"/>
    <cellStyle name="20% - Accent2 3 2 5 2" xfId="4094" xr:uid="{00000000-0005-0000-0000-000001010000}"/>
    <cellStyle name="20% - Accent2 3 2 5 2 2" xfId="8316" xr:uid="{00000000-0005-0000-0000-000002010000}"/>
    <cellStyle name="20% - Accent2 3 2 5 2 2 2" xfId="16766" xr:uid="{3945B7D3-4998-4557-AB88-2012C50401C7}"/>
    <cellStyle name="20% - Accent2 3 2 5 2 2 3" xfId="25213" xr:uid="{56EE3BF4-B91E-4690-A8BF-0304F5437F48}"/>
    <cellStyle name="20% - Accent2 3 2 5 2 3" xfId="12548" xr:uid="{53CAE8A1-C488-4884-890A-25C9BD6ED528}"/>
    <cellStyle name="20% - Accent2 3 2 5 2 4" xfId="20996" xr:uid="{3ACFA167-5429-484F-9CFA-950860C18C80}"/>
    <cellStyle name="20% - Accent2 3 2 5 3" xfId="6171" xr:uid="{00000000-0005-0000-0000-000003010000}"/>
    <cellStyle name="20% - Accent2 3 2 5 3 2" xfId="14621" xr:uid="{3D00D38D-DC84-4531-A697-C10CEA58460B}"/>
    <cellStyle name="20% - Accent2 3 2 5 3 3" xfId="23068" xr:uid="{DCFAB734-359C-4E1A-8E97-A5A3B850AAE6}"/>
    <cellStyle name="20% - Accent2 3 2 5 4" xfId="10403" xr:uid="{0422795B-7E13-42FA-A182-37E3050D8BB1}"/>
    <cellStyle name="20% - Accent2 3 2 5 5" xfId="18851" xr:uid="{32644805-0B5A-47C4-AAC4-17C6750A29B8}"/>
    <cellStyle name="20% - Accent2 3 2 6" xfId="2278" xr:uid="{00000000-0005-0000-0000-000004010000}"/>
    <cellStyle name="20% - Accent2 3 2 6 2" xfId="6584" xr:uid="{00000000-0005-0000-0000-000005010000}"/>
    <cellStyle name="20% - Accent2 3 2 6 2 2" xfId="15034" xr:uid="{A7DA1FB6-16BF-48F7-A9DB-0043FC963BB4}"/>
    <cellStyle name="20% - Accent2 3 2 6 2 3" xfId="23481" xr:uid="{8AB346AF-AC69-411B-96A6-FB46BE7A2F80}"/>
    <cellStyle name="20% - Accent2 3 2 6 3" xfId="10816" xr:uid="{2213EC7E-3202-467C-A4F8-C8D60E6A014B}"/>
    <cellStyle name="20% - Accent2 3 2 6 4" xfId="19264" xr:uid="{A2F29BE1-613E-41A1-A195-313848C2865E}"/>
    <cellStyle name="20% - Accent2 3 2 7" xfId="4518" xr:uid="{00000000-0005-0000-0000-000006010000}"/>
    <cellStyle name="20% - Accent2 3 2 7 2" xfId="12968" xr:uid="{94A9AD4D-4E33-4B60-821A-A6E2683ED255}"/>
    <cellStyle name="20% - Accent2 3 2 7 3" xfId="21415" xr:uid="{5E0499C1-8198-4D1A-A383-C3F7F701C55A}"/>
    <cellStyle name="20% - Accent2 3 2 8" xfId="8750" xr:uid="{54C01783-83B6-449B-A0E8-BE2FF2337012}"/>
    <cellStyle name="20% - Accent2 3 2 9" xfId="17198" xr:uid="{25F63C69-7CAA-4D41-98FC-B5DA568E9854}"/>
    <cellStyle name="20% - Accent2 3 3" xfId="583" xr:uid="{00000000-0005-0000-0000-000007010000}"/>
    <cellStyle name="20% - Accent2 3 3 2" xfId="2854" xr:uid="{00000000-0005-0000-0000-000008010000}"/>
    <cellStyle name="20% - Accent2 3 3 2 2" xfId="7076" xr:uid="{00000000-0005-0000-0000-000009010000}"/>
    <cellStyle name="20% - Accent2 3 3 2 2 2" xfId="15526" xr:uid="{63CE5C80-4BD8-4FBF-85AA-B23E5C03D8C9}"/>
    <cellStyle name="20% - Accent2 3 3 2 2 3" xfId="23973" xr:uid="{06D3505D-6F2E-4E99-81C0-9519927AC13A}"/>
    <cellStyle name="20% - Accent2 3 3 2 3" xfId="11308" xr:uid="{F56EB117-CC93-4D48-8B29-074553ED38B6}"/>
    <cellStyle name="20% - Accent2 3 3 2 4" xfId="19756" xr:uid="{212E41A6-692C-4E96-832D-0611FF9420DE}"/>
    <cellStyle name="20% - Accent2 3 3 3" xfId="4931" xr:uid="{00000000-0005-0000-0000-00000A010000}"/>
    <cellStyle name="20% - Accent2 3 3 3 2" xfId="13381" xr:uid="{83051B60-CD4D-4153-8F5C-DB1D5315EB4E}"/>
    <cellStyle name="20% - Accent2 3 3 3 3" xfId="21828" xr:uid="{B09586A0-F9DA-4657-837E-3C76882FBD67}"/>
    <cellStyle name="20% - Accent2 3 3 4" xfId="9163" xr:uid="{58C4989D-1945-4E7C-81C9-70C2F13F52B9}"/>
    <cellStyle name="20% - Accent2 3 3 5" xfId="17611" xr:uid="{E652701A-BD60-42AD-921E-EB238B6C27C8}"/>
    <cellStyle name="20% - Accent2 3 4" xfId="1036" xr:uid="{00000000-0005-0000-0000-00000B010000}"/>
    <cellStyle name="20% - Accent2 3 4 2" xfId="3267" xr:uid="{00000000-0005-0000-0000-00000C010000}"/>
    <cellStyle name="20% - Accent2 3 4 2 2" xfId="7489" xr:uid="{00000000-0005-0000-0000-00000D010000}"/>
    <cellStyle name="20% - Accent2 3 4 2 2 2" xfId="15939" xr:uid="{1D46F6C9-0E18-4AB9-993A-140BFBA418B2}"/>
    <cellStyle name="20% - Accent2 3 4 2 2 3" xfId="24386" xr:uid="{B985F909-6FA9-49A7-891E-194130852420}"/>
    <cellStyle name="20% - Accent2 3 4 2 3" xfId="11721" xr:uid="{54F73F95-136E-4778-94C7-9F640DEB4EC1}"/>
    <cellStyle name="20% - Accent2 3 4 2 4" xfId="20169" xr:uid="{40F2A0CD-CAAC-4E18-8701-666B76478932}"/>
    <cellStyle name="20% - Accent2 3 4 3" xfId="5344" xr:uid="{00000000-0005-0000-0000-00000E010000}"/>
    <cellStyle name="20% - Accent2 3 4 3 2" xfId="13794" xr:uid="{FD7DF578-D2D5-4E04-A85D-D3E77D8AF2EA}"/>
    <cellStyle name="20% - Accent2 3 4 3 3" xfId="22241" xr:uid="{D8597807-2371-46CE-944C-30C4CC649F92}"/>
    <cellStyle name="20% - Accent2 3 4 4" xfId="9576" xr:uid="{E0FFF67A-090E-4537-8DED-9F713C73E388}"/>
    <cellStyle name="20% - Accent2 3 4 5" xfId="18024" xr:uid="{25DECDDB-3C46-4211-84FF-4AE5E573905A}"/>
    <cellStyle name="20% - Accent2 3 5" xfId="1450" xr:uid="{00000000-0005-0000-0000-00000F010000}"/>
    <cellStyle name="20% - Accent2 3 5 2" xfId="3680" xr:uid="{00000000-0005-0000-0000-000010010000}"/>
    <cellStyle name="20% - Accent2 3 5 2 2" xfId="7902" xr:uid="{00000000-0005-0000-0000-000011010000}"/>
    <cellStyle name="20% - Accent2 3 5 2 2 2" xfId="16352" xr:uid="{C484F3D9-510F-4576-ADCD-8461F90900DF}"/>
    <cellStyle name="20% - Accent2 3 5 2 2 3" xfId="24799" xr:uid="{A720F03D-C0FD-4B69-9E88-8FF05E28FCCD}"/>
    <cellStyle name="20% - Accent2 3 5 2 3" xfId="12134" xr:uid="{C865AA3B-4848-4E50-BA69-524AD9AAD4B8}"/>
    <cellStyle name="20% - Accent2 3 5 2 4" xfId="20582" xr:uid="{ABFB3882-D227-49D1-AD69-A65A00361907}"/>
    <cellStyle name="20% - Accent2 3 5 3" xfId="5757" xr:uid="{00000000-0005-0000-0000-000012010000}"/>
    <cellStyle name="20% - Accent2 3 5 3 2" xfId="14207" xr:uid="{1D870A62-CBD4-4327-8FEA-28BDBD9F7225}"/>
    <cellStyle name="20% - Accent2 3 5 3 3" xfId="22654" xr:uid="{E49F1116-5C27-45C0-ADE6-0C9B81B4B779}"/>
    <cellStyle name="20% - Accent2 3 5 4" xfId="9989" xr:uid="{05B71CB2-2ECA-432E-9A13-22DC0977F4F9}"/>
    <cellStyle name="20% - Accent2 3 5 5" xfId="18437" xr:uid="{D03824D0-9DB9-43DC-8384-AA58367399C3}"/>
    <cellStyle name="20% - Accent2 3 6" xfId="1864" xr:uid="{00000000-0005-0000-0000-000013010000}"/>
    <cellStyle name="20% - Accent2 3 6 2" xfId="4093" xr:uid="{00000000-0005-0000-0000-000014010000}"/>
    <cellStyle name="20% - Accent2 3 6 2 2" xfId="8315" xr:uid="{00000000-0005-0000-0000-000015010000}"/>
    <cellStyle name="20% - Accent2 3 6 2 2 2" xfId="16765" xr:uid="{2E9C2F3F-EF22-4DD0-8110-254B50935619}"/>
    <cellStyle name="20% - Accent2 3 6 2 2 3" xfId="25212" xr:uid="{9A80412A-836C-419F-8CE3-33B693FB50AE}"/>
    <cellStyle name="20% - Accent2 3 6 2 3" xfId="12547" xr:uid="{9A1B3C79-7A60-45B5-BA4E-0D2D2DC7A311}"/>
    <cellStyle name="20% - Accent2 3 6 2 4" xfId="20995" xr:uid="{275D6C13-FC8A-4E21-A85D-E7DEF14A01B3}"/>
    <cellStyle name="20% - Accent2 3 6 3" xfId="6170" xr:uid="{00000000-0005-0000-0000-000016010000}"/>
    <cellStyle name="20% - Accent2 3 6 3 2" xfId="14620" xr:uid="{11BA82E2-9EA1-4F36-A7A3-6B50A77DECE3}"/>
    <cellStyle name="20% - Accent2 3 6 3 3" xfId="23067" xr:uid="{9E7952BD-00E6-49C2-BB97-93E7363A23A8}"/>
    <cellStyle name="20% - Accent2 3 6 4" xfId="10402" xr:uid="{22CD0C7C-6CE3-4528-BA1C-DF8175A2DB54}"/>
    <cellStyle name="20% - Accent2 3 6 5" xfId="18850" xr:uid="{605BB7F2-369B-4B0E-A25F-F80FB5DCC1B5}"/>
    <cellStyle name="20% - Accent2 3 7" xfId="2277" xr:uid="{00000000-0005-0000-0000-000017010000}"/>
    <cellStyle name="20% - Accent2 3 7 2" xfId="6583" xr:uid="{00000000-0005-0000-0000-000018010000}"/>
    <cellStyle name="20% - Accent2 3 7 2 2" xfId="15033" xr:uid="{86CD59CA-D059-48DE-8E86-97554E7850AA}"/>
    <cellStyle name="20% - Accent2 3 7 2 3" xfId="23480" xr:uid="{48711090-C564-4128-82BD-CD48507D8191}"/>
    <cellStyle name="20% - Accent2 3 7 3" xfId="10815" xr:uid="{1ED74E6E-C20D-4160-BD76-D1F9A170CC7A}"/>
    <cellStyle name="20% - Accent2 3 7 4" xfId="19263" xr:uid="{280F63BB-FCD7-4823-BDB7-642BC3344097}"/>
    <cellStyle name="20% - Accent2 3 8" xfId="4517" xr:uid="{00000000-0005-0000-0000-000019010000}"/>
    <cellStyle name="20% - Accent2 3 8 2" xfId="12967" xr:uid="{8B74E12F-1857-4316-85BE-2D56AB609F3D}"/>
    <cellStyle name="20% - Accent2 3 8 3" xfId="21414" xr:uid="{57A80177-D503-4565-82F7-3CADD168EB74}"/>
    <cellStyle name="20% - Accent2 3 9" xfId="8749" xr:uid="{06742EDA-BDE2-431D-A91E-5BEABD51134C}"/>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2 2 2" xfId="15528" xr:uid="{DA10B212-073B-4F5C-81F8-38E86EC4D481}"/>
    <cellStyle name="20% - Accent2 4 2 2 2 3" xfId="23975" xr:uid="{F95226D5-B3A9-4E2F-981E-BD940B9B337B}"/>
    <cellStyle name="20% - Accent2 4 2 2 3" xfId="11310" xr:uid="{45E90D2F-85B9-4432-8339-8DD1651E93C6}"/>
    <cellStyle name="20% - Accent2 4 2 2 4" xfId="19758" xr:uid="{D9FE2376-AE4A-4D9F-8DE1-11A0E1B59094}"/>
    <cellStyle name="20% - Accent2 4 2 3" xfId="4933" xr:uid="{00000000-0005-0000-0000-00001E010000}"/>
    <cellStyle name="20% - Accent2 4 2 3 2" xfId="13383" xr:uid="{EBDF1901-BC17-4963-B283-B99FE5D78C4A}"/>
    <cellStyle name="20% - Accent2 4 2 3 3" xfId="21830" xr:uid="{49ABB4D5-394B-4C6C-ACF9-A7894F5C1D20}"/>
    <cellStyle name="20% - Accent2 4 2 4" xfId="9165" xr:uid="{0C432E5E-02DF-4D65-AB84-EEF25496CEED}"/>
    <cellStyle name="20% - Accent2 4 2 5" xfId="17613" xr:uid="{AD207EC9-E177-48FA-A07C-78624D5BDD84}"/>
    <cellStyle name="20% - Accent2 4 3" xfId="1038" xr:uid="{00000000-0005-0000-0000-00001F010000}"/>
    <cellStyle name="20% - Accent2 4 3 2" xfId="3269" xr:uid="{00000000-0005-0000-0000-000020010000}"/>
    <cellStyle name="20% - Accent2 4 3 2 2" xfId="7491" xr:uid="{00000000-0005-0000-0000-000021010000}"/>
    <cellStyle name="20% - Accent2 4 3 2 2 2" xfId="15941" xr:uid="{B93905AA-F1E1-4BB8-89A9-8C3C020D58BE}"/>
    <cellStyle name="20% - Accent2 4 3 2 2 3" xfId="24388" xr:uid="{8F1697C5-B510-4333-A180-CD0D5E012EF4}"/>
    <cellStyle name="20% - Accent2 4 3 2 3" xfId="11723" xr:uid="{76BAED16-60DA-449E-B648-705665A12E95}"/>
    <cellStyle name="20% - Accent2 4 3 2 4" xfId="20171" xr:uid="{C38E3E6E-00BB-4D77-A318-D29AC451E740}"/>
    <cellStyle name="20% - Accent2 4 3 3" xfId="5346" xr:uid="{00000000-0005-0000-0000-000022010000}"/>
    <cellStyle name="20% - Accent2 4 3 3 2" xfId="13796" xr:uid="{0ECC1DDA-B4A8-47FB-B0C8-22F5DBCF9933}"/>
    <cellStyle name="20% - Accent2 4 3 3 3" xfId="22243" xr:uid="{792AE149-E7C5-4F96-8ED6-8485A82CF89B}"/>
    <cellStyle name="20% - Accent2 4 3 4" xfId="9578" xr:uid="{01FB837E-FB18-47E8-B03E-F73828A6FB42}"/>
    <cellStyle name="20% - Accent2 4 3 5" xfId="18026" xr:uid="{C6642C60-8DE7-4A2A-BBA8-BF85C502DF3E}"/>
    <cellStyle name="20% - Accent2 4 4" xfId="1452" xr:uid="{00000000-0005-0000-0000-000023010000}"/>
    <cellStyle name="20% - Accent2 4 4 2" xfId="3682" xr:uid="{00000000-0005-0000-0000-000024010000}"/>
    <cellStyle name="20% - Accent2 4 4 2 2" xfId="7904" xr:uid="{00000000-0005-0000-0000-000025010000}"/>
    <cellStyle name="20% - Accent2 4 4 2 2 2" xfId="16354" xr:uid="{CC14E02B-FDF3-4B89-B1B6-8618AEBEF6B8}"/>
    <cellStyle name="20% - Accent2 4 4 2 2 3" xfId="24801" xr:uid="{E5C871C2-2605-4678-8600-D82BDC211F2F}"/>
    <cellStyle name="20% - Accent2 4 4 2 3" xfId="12136" xr:uid="{C1F71351-4D9B-467A-A6DD-484A3FFF1E36}"/>
    <cellStyle name="20% - Accent2 4 4 2 4" xfId="20584" xr:uid="{8C15321B-02E7-4812-BAE8-2CE79DFB01E6}"/>
    <cellStyle name="20% - Accent2 4 4 3" xfId="5759" xr:uid="{00000000-0005-0000-0000-000026010000}"/>
    <cellStyle name="20% - Accent2 4 4 3 2" xfId="14209" xr:uid="{313B3296-2A46-41E7-B642-ECDC0F793DD8}"/>
    <cellStyle name="20% - Accent2 4 4 3 3" xfId="22656" xr:uid="{F2F3053C-669D-4EE7-810A-062BFEC7A9FF}"/>
    <cellStyle name="20% - Accent2 4 4 4" xfId="9991" xr:uid="{B4760B5E-06F5-4F0D-B18E-7252D1813907}"/>
    <cellStyle name="20% - Accent2 4 4 5" xfId="18439" xr:uid="{C0A5C372-6B70-41CE-A2EF-C217AE1FB1CE}"/>
    <cellStyle name="20% - Accent2 4 5" xfId="1866" xr:uid="{00000000-0005-0000-0000-000027010000}"/>
    <cellStyle name="20% - Accent2 4 5 2" xfId="4095" xr:uid="{00000000-0005-0000-0000-000028010000}"/>
    <cellStyle name="20% - Accent2 4 5 2 2" xfId="8317" xr:uid="{00000000-0005-0000-0000-000029010000}"/>
    <cellStyle name="20% - Accent2 4 5 2 2 2" xfId="16767" xr:uid="{D0D2A7F5-E650-4364-9CC5-B2EF0A044A8C}"/>
    <cellStyle name="20% - Accent2 4 5 2 2 3" xfId="25214" xr:uid="{896A2357-7141-49FD-A745-C3AF6C5AFC10}"/>
    <cellStyle name="20% - Accent2 4 5 2 3" xfId="12549" xr:uid="{6A22B023-91E8-4333-968B-85797549400E}"/>
    <cellStyle name="20% - Accent2 4 5 2 4" xfId="20997" xr:uid="{7328091F-02DD-4796-B690-3139FA6A4B76}"/>
    <cellStyle name="20% - Accent2 4 5 3" xfId="6172" xr:uid="{00000000-0005-0000-0000-00002A010000}"/>
    <cellStyle name="20% - Accent2 4 5 3 2" xfId="14622" xr:uid="{9762D6FB-02B0-4EE4-83A8-C7C0F59ADE80}"/>
    <cellStyle name="20% - Accent2 4 5 3 3" xfId="23069" xr:uid="{F6D503ED-AECB-4C02-9C51-BADED9FE7AD8}"/>
    <cellStyle name="20% - Accent2 4 5 4" xfId="10404" xr:uid="{ADA869AD-F4DA-4200-BFC7-3F045BF1155F}"/>
    <cellStyle name="20% - Accent2 4 5 5" xfId="18852" xr:uid="{19ABEC93-89E0-4E65-AB88-DB27634162E0}"/>
    <cellStyle name="20% - Accent2 4 6" xfId="2279" xr:uid="{00000000-0005-0000-0000-00002B010000}"/>
    <cellStyle name="20% - Accent2 4 6 2" xfId="6585" xr:uid="{00000000-0005-0000-0000-00002C010000}"/>
    <cellStyle name="20% - Accent2 4 6 2 2" xfId="15035" xr:uid="{C59C0E24-9FA9-405C-9FA7-132028081166}"/>
    <cellStyle name="20% - Accent2 4 6 2 3" xfId="23482" xr:uid="{B147035D-C0B4-4398-A3A6-DB5568D715E3}"/>
    <cellStyle name="20% - Accent2 4 6 3" xfId="10817" xr:uid="{A0F0AD5F-B174-44C2-90DF-2BF9623AC043}"/>
    <cellStyle name="20% - Accent2 4 6 4" xfId="19265" xr:uid="{2443CE5C-B530-447B-BC97-DC3C4023FF64}"/>
    <cellStyle name="20% - Accent2 4 7" xfId="4519" xr:uid="{00000000-0005-0000-0000-00002D010000}"/>
    <cellStyle name="20% - Accent2 4 7 2" xfId="12969" xr:uid="{FCA4E774-6FEF-4E59-B357-0F9F72887198}"/>
    <cellStyle name="20% - Accent2 4 7 3" xfId="21416" xr:uid="{860ADF21-4A01-4215-B064-C1D81E7C174E}"/>
    <cellStyle name="20% - Accent2 4 8" xfId="8751" xr:uid="{CE1DCC98-235F-47EA-9E87-A011BC364D15}"/>
    <cellStyle name="20% - Accent2 4 9" xfId="17199" xr:uid="{F4845A07-0269-4829-B6FA-BFE5EE2F7AB4}"/>
    <cellStyle name="20% - Accent2 5" xfId="578" xr:uid="{00000000-0005-0000-0000-00002E010000}"/>
    <cellStyle name="20% - Accent2 5 2" xfId="2849" xr:uid="{00000000-0005-0000-0000-00002F010000}"/>
    <cellStyle name="20% - Accent2 5 2 2" xfId="7071" xr:uid="{00000000-0005-0000-0000-000030010000}"/>
    <cellStyle name="20% - Accent2 5 2 2 2" xfId="15521" xr:uid="{6289AE94-D40A-4273-9D1F-FD0A71EE2ABD}"/>
    <cellStyle name="20% - Accent2 5 2 2 3" xfId="23968" xr:uid="{4ECECF71-C933-4797-96C1-70F1D4EC815C}"/>
    <cellStyle name="20% - Accent2 5 2 3" xfId="11303" xr:uid="{940CD409-2581-4B69-9550-4FC02CDBCBAF}"/>
    <cellStyle name="20% - Accent2 5 2 4" xfId="19751" xr:uid="{4AC89169-C1E6-4E4A-9944-F3FEAD003B07}"/>
    <cellStyle name="20% - Accent2 5 3" xfId="4926" xr:uid="{00000000-0005-0000-0000-000031010000}"/>
    <cellStyle name="20% - Accent2 5 3 2" xfId="13376" xr:uid="{3D51E193-1819-4E05-807C-B05E08A18C58}"/>
    <cellStyle name="20% - Accent2 5 3 3" xfId="21823" xr:uid="{BD4F9D9F-9504-495A-910B-8992E7DBDCA7}"/>
    <cellStyle name="20% - Accent2 5 4" xfId="9158" xr:uid="{AD13798B-C2BB-4377-B35F-AF0CF00A1B84}"/>
    <cellStyle name="20% - Accent2 5 5" xfId="17606" xr:uid="{A03023B4-7A89-4FAD-BCCE-A1083171259D}"/>
    <cellStyle name="20% - Accent2 6" xfId="1031" xr:uid="{00000000-0005-0000-0000-000032010000}"/>
    <cellStyle name="20% - Accent2 6 2" xfId="3262" xr:uid="{00000000-0005-0000-0000-000033010000}"/>
    <cellStyle name="20% - Accent2 6 2 2" xfId="7484" xr:uid="{00000000-0005-0000-0000-000034010000}"/>
    <cellStyle name="20% - Accent2 6 2 2 2" xfId="15934" xr:uid="{EFF5D63A-3215-4E72-876E-DB4CD693BDBF}"/>
    <cellStyle name="20% - Accent2 6 2 2 3" xfId="24381" xr:uid="{7E5B5E11-CCA4-411A-BD12-032D2F169781}"/>
    <cellStyle name="20% - Accent2 6 2 3" xfId="11716" xr:uid="{3633AC52-E3D3-49BC-898A-E9D6EA7E7BA7}"/>
    <cellStyle name="20% - Accent2 6 2 4" xfId="20164" xr:uid="{A622D36C-D7FC-4934-AA5A-059BCC192338}"/>
    <cellStyle name="20% - Accent2 6 3" xfId="5339" xr:uid="{00000000-0005-0000-0000-000035010000}"/>
    <cellStyle name="20% - Accent2 6 3 2" xfId="13789" xr:uid="{24451450-8EFD-4921-8CFC-18EBDEBECC08}"/>
    <cellStyle name="20% - Accent2 6 3 3" xfId="22236" xr:uid="{85F74643-1678-4D6B-91EA-8A411AA4574C}"/>
    <cellStyle name="20% - Accent2 6 4" xfId="9571" xr:uid="{BD2EAE34-7DDD-4B2C-A681-B383025A3FEF}"/>
    <cellStyle name="20% - Accent2 6 5" xfId="18019" xr:uid="{744C8503-A7E7-4F30-9EDF-863C8080A45A}"/>
    <cellStyle name="20% - Accent2 7" xfId="1445" xr:uid="{00000000-0005-0000-0000-000036010000}"/>
    <cellStyle name="20% - Accent2 7 2" xfId="3675" xr:uid="{00000000-0005-0000-0000-000037010000}"/>
    <cellStyle name="20% - Accent2 7 2 2" xfId="7897" xr:uid="{00000000-0005-0000-0000-000038010000}"/>
    <cellStyle name="20% - Accent2 7 2 2 2" xfId="16347" xr:uid="{E44CFAB5-342A-45FC-9018-0DC906D190E1}"/>
    <cellStyle name="20% - Accent2 7 2 2 3" xfId="24794" xr:uid="{03FE8644-4822-4F7D-814F-C0D72878667F}"/>
    <cellStyle name="20% - Accent2 7 2 3" xfId="12129" xr:uid="{015E50EA-5A47-4E5C-942A-E1A621BC51B1}"/>
    <cellStyle name="20% - Accent2 7 2 4" xfId="20577" xr:uid="{DDABEB64-EAAF-4178-AF89-937B70DBB23C}"/>
    <cellStyle name="20% - Accent2 7 3" xfId="5752" xr:uid="{00000000-0005-0000-0000-000039010000}"/>
    <cellStyle name="20% - Accent2 7 3 2" xfId="14202" xr:uid="{28556665-D05D-4E2A-A810-D60BA2703EC0}"/>
    <cellStyle name="20% - Accent2 7 3 3" xfId="22649" xr:uid="{BF234CEE-3D0D-42D0-8809-5AAF962CBDBE}"/>
    <cellStyle name="20% - Accent2 7 4" xfId="9984" xr:uid="{70EB702C-C253-49CD-983E-A9564A7DF8AE}"/>
    <cellStyle name="20% - Accent2 7 5" xfId="18432" xr:uid="{F0F3E640-EEFB-4FD3-9340-39C3211A87F9}"/>
    <cellStyle name="20% - Accent2 8" xfId="1859" xr:uid="{00000000-0005-0000-0000-00003A010000}"/>
    <cellStyle name="20% - Accent2 8 2" xfId="4088" xr:uid="{00000000-0005-0000-0000-00003B010000}"/>
    <cellStyle name="20% - Accent2 8 2 2" xfId="8310" xr:uid="{00000000-0005-0000-0000-00003C010000}"/>
    <cellStyle name="20% - Accent2 8 2 2 2" xfId="16760" xr:uid="{E71B6A1F-7A30-44D9-90DA-D447A7D5FAC7}"/>
    <cellStyle name="20% - Accent2 8 2 2 3" xfId="25207" xr:uid="{E00B3CCE-7C5B-4210-B7C5-4A0C6FAC44E3}"/>
    <cellStyle name="20% - Accent2 8 2 3" xfId="12542" xr:uid="{4923A1E4-E0B8-44BC-A101-867B1E1D72A1}"/>
    <cellStyle name="20% - Accent2 8 2 4" xfId="20990" xr:uid="{5DDD5D9B-3CA3-4D9E-864D-2A3638243DEB}"/>
    <cellStyle name="20% - Accent2 8 3" xfId="6165" xr:uid="{00000000-0005-0000-0000-00003D010000}"/>
    <cellStyle name="20% - Accent2 8 3 2" xfId="14615" xr:uid="{23056BEF-19F3-4EBF-8C74-D041DC005ABB}"/>
    <cellStyle name="20% - Accent2 8 3 3" xfId="23062" xr:uid="{E6619147-A186-4B41-A149-3B52415B627E}"/>
    <cellStyle name="20% - Accent2 8 4" xfId="10397" xr:uid="{9331AFD5-5928-470D-B1B3-CD63B3D8633E}"/>
    <cellStyle name="20% - Accent2 8 5" xfId="18845" xr:uid="{D5163493-93EB-4EC0-B434-E0586B5C45BA}"/>
    <cellStyle name="20% - Accent2 9" xfId="2272" xr:uid="{00000000-0005-0000-0000-00003E010000}"/>
    <cellStyle name="20% - Accent2 9 2" xfId="6578" xr:uid="{00000000-0005-0000-0000-00003F010000}"/>
    <cellStyle name="20% - Accent2 9 2 2" xfId="15028" xr:uid="{FAADCA99-F0A0-463D-A7EF-B96152036681}"/>
    <cellStyle name="20% - Accent2 9 2 3" xfId="23475" xr:uid="{316908E7-6211-4347-9B90-045D2753A9CC}"/>
    <cellStyle name="20% - Accent2 9 3" xfId="10810" xr:uid="{6512C1FD-3D42-4A8E-AB01-BBA7EA9758A9}"/>
    <cellStyle name="20% - Accent2 9 4" xfId="19258" xr:uid="{C77D3505-16F5-4E9F-8503-F68B94115529}"/>
    <cellStyle name="20% - Accent3" xfId="17" builtinId="38" customBuiltin="1"/>
    <cellStyle name="20% - Accent3 10" xfId="4520" xr:uid="{00000000-0005-0000-0000-000041010000}"/>
    <cellStyle name="20% - Accent3 10 2" xfId="12970" xr:uid="{5D1C3271-C350-4E48-85B7-755F57AEDBB0}"/>
    <cellStyle name="20% - Accent3 10 3" xfId="21417" xr:uid="{19D0E53B-0121-44DD-8B22-C387270692D9}"/>
    <cellStyle name="20% - Accent3 11" xfId="8752" xr:uid="{04355D9A-2D00-45EE-B5D9-2F4D40D59D9C}"/>
    <cellStyle name="20% - Accent3 12" xfId="17200" xr:uid="{D42679FB-4139-4DB6-B856-BDB6A2DBBE46}"/>
    <cellStyle name="20% - Accent3 2" xfId="18" xr:uid="{00000000-0005-0000-0000-000042010000}"/>
    <cellStyle name="20% - Accent3 2 10" xfId="8753" xr:uid="{343D55EC-4DC4-43FD-BD17-C35D42E36A97}"/>
    <cellStyle name="20% - Accent3 2 11" xfId="17201" xr:uid="{E4A7C5F7-53B6-4E61-9B69-FE796CFA9568}"/>
    <cellStyle name="20% - Accent3 2 2" xfId="19" xr:uid="{00000000-0005-0000-0000-000043010000}"/>
    <cellStyle name="20% - Accent3 2 2 10" xfId="17202" xr:uid="{3AFCDB4E-D04A-42D8-BC6F-0BCB7EC32562}"/>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2 2 2" xfId="15532" xr:uid="{0B83AB06-89F1-49EB-A7E3-2D3C4D12A33B}"/>
    <cellStyle name="20% - Accent3 2 2 2 2 2 2 3" xfId="23979" xr:uid="{AF8A6BB5-2054-44A0-BFC6-811062D8E1AC}"/>
    <cellStyle name="20% - Accent3 2 2 2 2 2 3" xfId="11314" xr:uid="{F75B7E61-4521-4D4E-BF68-47DFBDEEC8B6}"/>
    <cellStyle name="20% - Accent3 2 2 2 2 2 4" xfId="19762" xr:uid="{62A070B9-8B67-43E6-BC45-964CDDFBF596}"/>
    <cellStyle name="20% - Accent3 2 2 2 2 3" xfId="4937" xr:uid="{00000000-0005-0000-0000-000048010000}"/>
    <cellStyle name="20% - Accent3 2 2 2 2 3 2" xfId="13387" xr:uid="{1F9376B0-6019-4F5E-8F49-97F82BCEA0F6}"/>
    <cellStyle name="20% - Accent3 2 2 2 2 3 3" xfId="21834" xr:uid="{0366CF24-9514-4500-B2A3-4F08014E381A}"/>
    <cellStyle name="20% - Accent3 2 2 2 2 4" xfId="9169" xr:uid="{E20B2EE5-EC1B-441B-90FD-401B4B17F5DE}"/>
    <cellStyle name="20% - Accent3 2 2 2 2 5" xfId="17617" xr:uid="{570765D4-E6D6-4A5A-97B7-D2DAD05AB615}"/>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2 2 2" xfId="15945" xr:uid="{9C39AF43-7736-4C8C-AD1F-B4A371C44D15}"/>
    <cellStyle name="20% - Accent3 2 2 2 3 2 2 3" xfId="24392" xr:uid="{CEF4EE5E-FC20-4F21-8B30-317A26BD63BC}"/>
    <cellStyle name="20% - Accent3 2 2 2 3 2 3" xfId="11727" xr:uid="{1B0C4E51-D875-4B71-98EF-E32ECAF6D9DF}"/>
    <cellStyle name="20% - Accent3 2 2 2 3 2 4" xfId="20175" xr:uid="{FCD188C2-35A1-425F-9825-AA99E272DD6C}"/>
    <cellStyle name="20% - Accent3 2 2 2 3 3" xfId="5350" xr:uid="{00000000-0005-0000-0000-00004C010000}"/>
    <cellStyle name="20% - Accent3 2 2 2 3 3 2" xfId="13800" xr:uid="{BCA127B1-B0F1-47BB-9F71-3E3B1A998504}"/>
    <cellStyle name="20% - Accent3 2 2 2 3 3 3" xfId="22247" xr:uid="{33EAFD57-DE4B-4263-86DB-EA835290B011}"/>
    <cellStyle name="20% - Accent3 2 2 2 3 4" xfId="9582" xr:uid="{01C2A225-6D89-4FE1-BFBE-A3B57EF10D19}"/>
    <cellStyle name="20% - Accent3 2 2 2 3 5" xfId="18030" xr:uid="{328007AC-C707-4E91-9BFE-EDD181A06031}"/>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2 2 2" xfId="16358" xr:uid="{ECC4C753-6FBE-416A-A698-DB4903E230CA}"/>
    <cellStyle name="20% - Accent3 2 2 2 4 2 2 3" xfId="24805" xr:uid="{27A6FEE0-1093-49B6-973A-F69689D1891A}"/>
    <cellStyle name="20% - Accent3 2 2 2 4 2 3" xfId="12140" xr:uid="{DC6075E9-2366-4E4D-BC7A-4442B90828E3}"/>
    <cellStyle name="20% - Accent3 2 2 2 4 2 4" xfId="20588" xr:uid="{F1519BA5-8A41-4CB6-A3A0-653F13E7015C}"/>
    <cellStyle name="20% - Accent3 2 2 2 4 3" xfId="5763" xr:uid="{00000000-0005-0000-0000-000050010000}"/>
    <cellStyle name="20% - Accent3 2 2 2 4 3 2" xfId="14213" xr:uid="{04015E34-9409-4E0B-8FB9-ED790D5DC881}"/>
    <cellStyle name="20% - Accent3 2 2 2 4 3 3" xfId="22660" xr:uid="{83C9BD4A-686C-456C-ADAA-AF600FD819E6}"/>
    <cellStyle name="20% - Accent3 2 2 2 4 4" xfId="9995" xr:uid="{0EA8511A-B90C-4ECD-8D5B-C51CE623A344}"/>
    <cellStyle name="20% - Accent3 2 2 2 4 5" xfId="18443" xr:uid="{14CFFB38-7AE2-4619-9F7E-2D7BB7B447D6}"/>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2 2 2" xfId="16771" xr:uid="{AC318469-D5FE-4990-AA75-2E1FC3710F1E}"/>
    <cellStyle name="20% - Accent3 2 2 2 5 2 2 3" xfId="25218" xr:uid="{4DD1181B-3C4B-4431-9CCA-B7D7C1623CDC}"/>
    <cellStyle name="20% - Accent3 2 2 2 5 2 3" xfId="12553" xr:uid="{BB8C2D3E-D594-430B-8339-BCC3A6A5AB69}"/>
    <cellStyle name="20% - Accent3 2 2 2 5 2 4" xfId="21001" xr:uid="{2171C783-E885-498B-8028-6BF7E7264ED7}"/>
    <cellStyle name="20% - Accent3 2 2 2 5 3" xfId="6176" xr:uid="{00000000-0005-0000-0000-000054010000}"/>
    <cellStyle name="20% - Accent3 2 2 2 5 3 2" xfId="14626" xr:uid="{1AD18DC3-A182-47AA-B1CB-0105F08BB15A}"/>
    <cellStyle name="20% - Accent3 2 2 2 5 3 3" xfId="23073" xr:uid="{AA146B73-05C9-4AF5-AACB-1D37C51CC9B5}"/>
    <cellStyle name="20% - Accent3 2 2 2 5 4" xfId="10408" xr:uid="{9B306F3C-5057-4A3F-936C-23EC7111FB71}"/>
    <cellStyle name="20% - Accent3 2 2 2 5 5" xfId="18856" xr:uid="{2330E094-6A21-4D80-9F56-FBD7835AA545}"/>
    <cellStyle name="20% - Accent3 2 2 2 6" xfId="2283" xr:uid="{00000000-0005-0000-0000-000055010000}"/>
    <cellStyle name="20% - Accent3 2 2 2 6 2" xfId="6589" xr:uid="{00000000-0005-0000-0000-000056010000}"/>
    <cellStyle name="20% - Accent3 2 2 2 6 2 2" xfId="15039" xr:uid="{1130A6D5-2DD1-4576-AEB8-8EF63FE7947A}"/>
    <cellStyle name="20% - Accent3 2 2 2 6 2 3" xfId="23486" xr:uid="{3E97DE5E-9974-4455-A324-B48F7C3ABA63}"/>
    <cellStyle name="20% - Accent3 2 2 2 6 3" xfId="10821" xr:uid="{ABFA9A45-B025-4EBF-843D-BE0AA5B2B66E}"/>
    <cellStyle name="20% - Accent3 2 2 2 6 4" xfId="19269" xr:uid="{322FCDE3-9C56-4F71-BE4A-1FE01CE71110}"/>
    <cellStyle name="20% - Accent3 2 2 2 7" xfId="4523" xr:uid="{00000000-0005-0000-0000-000057010000}"/>
    <cellStyle name="20% - Accent3 2 2 2 7 2" xfId="12973" xr:uid="{B4DD3D21-A2D1-4C03-93EF-8E372B6F4414}"/>
    <cellStyle name="20% - Accent3 2 2 2 7 3" xfId="21420" xr:uid="{C8483207-0774-486D-92A1-B41B12FECD93}"/>
    <cellStyle name="20% - Accent3 2 2 2 8" xfId="8755" xr:uid="{88AEE5F8-F918-4E70-9949-B8B4B38905E1}"/>
    <cellStyle name="20% - Accent3 2 2 2 9" xfId="17203" xr:uid="{1ED94736-16A2-409D-84BE-19D804EC1B09}"/>
    <cellStyle name="20% - Accent3 2 2 3" xfId="588" xr:uid="{00000000-0005-0000-0000-000058010000}"/>
    <cellStyle name="20% - Accent3 2 2 3 2" xfId="2859" xr:uid="{00000000-0005-0000-0000-000059010000}"/>
    <cellStyle name="20% - Accent3 2 2 3 2 2" xfId="7081" xr:uid="{00000000-0005-0000-0000-00005A010000}"/>
    <cellStyle name="20% - Accent3 2 2 3 2 2 2" xfId="15531" xr:uid="{9ACB2DE4-62C8-47CF-87AF-85CB238B7117}"/>
    <cellStyle name="20% - Accent3 2 2 3 2 2 3" xfId="23978" xr:uid="{C955F14B-50B4-4982-AD62-879CC01F2938}"/>
    <cellStyle name="20% - Accent3 2 2 3 2 3" xfId="11313" xr:uid="{F82B392C-65E7-422D-8AD8-D19CA2074154}"/>
    <cellStyle name="20% - Accent3 2 2 3 2 4" xfId="19761" xr:uid="{8BB30F98-3088-4017-96B3-313EB30476A4}"/>
    <cellStyle name="20% - Accent3 2 2 3 3" xfId="4936" xr:uid="{00000000-0005-0000-0000-00005B010000}"/>
    <cellStyle name="20% - Accent3 2 2 3 3 2" xfId="13386" xr:uid="{E03C36D9-1A05-41BE-8446-094782F3C003}"/>
    <cellStyle name="20% - Accent3 2 2 3 3 3" xfId="21833" xr:uid="{F87AA4CD-B786-4E6D-B488-E8F477BB6418}"/>
    <cellStyle name="20% - Accent3 2 2 3 4" xfId="9168" xr:uid="{86F9875E-E37C-4FB4-98F9-44EAAFE7EDC8}"/>
    <cellStyle name="20% - Accent3 2 2 3 5" xfId="17616" xr:uid="{A92CFB0E-6F73-43C0-A526-B6352639EE5D}"/>
    <cellStyle name="20% - Accent3 2 2 4" xfId="1041" xr:uid="{00000000-0005-0000-0000-00005C010000}"/>
    <cellStyle name="20% - Accent3 2 2 4 2" xfId="3272" xr:uid="{00000000-0005-0000-0000-00005D010000}"/>
    <cellStyle name="20% - Accent3 2 2 4 2 2" xfId="7494" xr:uid="{00000000-0005-0000-0000-00005E010000}"/>
    <cellStyle name="20% - Accent3 2 2 4 2 2 2" xfId="15944" xr:uid="{74B7A5C8-2068-4D10-A52D-820E751EA94B}"/>
    <cellStyle name="20% - Accent3 2 2 4 2 2 3" xfId="24391" xr:uid="{B829069F-3A2E-4591-BA91-414F9098F284}"/>
    <cellStyle name="20% - Accent3 2 2 4 2 3" xfId="11726" xr:uid="{998205FD-7007-4DD6-87A5-9A6700F11776}"/>
    <cellStyle name="20% - Accent3 2 2 4 2 4" xfId="20174" xr:uid="{5454F9E1-F7D8-4F48-AD55-28D5CA08D9D2}"/>
    <cellStyle name="20% - Accent3 2 2 4 3" xfId="5349" xr:uid="{00000000-0005-0000-0000-00005F010000}"/>
    <cellStyle name="20% - Accent3 2 2 4 3 2" xfId="13799" xr:uid="{780DE688-30D3-4D99-A851-845999575DA6}"/>
    <cellStyle name="20% - Accent3 2 2 4 3 3" xfId="22246" xr:uid="{04C8B2AC-D213-427C-AEE0-945675D8EC86}"/>
    <cellStyle name="20% - Accent3 2 2 4 4" xfId="9581" xr:uid="{D752AB78-7306-4EB3-8EBB-CFABF8AEDFC4}"/>
    <cellStyle name="20% - Accent3 2 2 4 5" xfId="18029" xr:uid="{3D94DB85-5309-44BF-8F6A-1ACF3D922F13}"/>
    <cellStyle name="20% - Accent3 2 2 5" xfId="1455" xr:uid="{00000000-0005-0000-0000-000060010000}"/>
    <cellStyle name="20% - Accent3 2 2 5 2" xfId="3685" xr:uid="{00000000-0005-0000-0000-000061010000}"/>
    <cellStyle name="20% - Accent3 2 2 5 2 2" xfId="7907" xr:uid="{00000000-0005-0000-0000-000062010000}"/>
    <cellStyle name="20% - Accent3 2 2 5 2 2 2" xfId="16357" xr:uid="{8DD4128B-7990-4091-837C-98E4A67CE6CC}"/>
    <cellStyle name="20% - Accent3 2 2 5 2 2 3" xfId="24804" xr:uid="{F0D545AD-0B60-4CC8-BD02-F8A272133250}"/>
    <cellStyle name="20% - Accent3 2 2 5 2 3" xfId="12139" xr:uid="{B18DE942-1A18-49CA-8A5E-BC609E92CB06}"/>
    <cellStyle name="20% - Accent3 2 2 5 2 4" xfId="20587" xr:uid="{DE2A1D90-EF4B-4D37-ABA1-351A5B7595FA}"/>
    <cellStyle name="20% - Accent3 2 2 5 3" xfId="5762" xr:uid="{00000000-0005-0000-0000-000063010000}"/>
    <cellStyle name="20% - Accent3 2 2 5 3 2" xfId="14212" xr:uid="{A2312204-3BE6-49CD-A332-C44EB43D3F5F}"/>
    <cellStyle name="20% - Accent3 2 2 5 3 3" xfId="22659" xr:uid="{B54A32CB-145C-402F-B534-3C849DBF082D}"/>
    <cellStyle name="20% - Accent3 2 2 5 4" xfId="9994" xr:uid="{E8072D8C-74FB-44B5-A012-E41FDCBD168E}"/>
    <cellStyle name="20% - Accent3 2 2 5 5" xfId="18442" xr:uid="{4D028C2C-BA62-4CF4-A322-A1ABB056BA85}"/>
    <cellStyle name="20% - Accent3 2 2 6" xfId="1869" xr:uid="{00000000-0005-0000-0000-000064010000}"/>
    <cellStyle name="20% - Accent3 2 2 6 2" xfId="4098" xr:uid="{00000000-0005-0000-0000-000065010000}"/>
    <cellStyle name="20% - Accent3 2 2 6 2 2" xfId="8320" xr:uid="{00000000-0005-0000-0000-000066010000}"/>
    <cellStyle name="20% - Accent3 2 2 6 2 2 2" xfId="16770" xr:uid="{565FC090-D8F7-4036-8736-ACAAF5ABABC9}"/>
    <cellStyle name="20% - Accent3 2 2 6 2 2 3" xfId="25217" xr:uid="{9FC2AF19-0D26-45F8-8E27-37CACC9D08D6}"/>
    <cellStyle name="20% - Accent3 2 2 6 2 3" xfId="12552" xr:uid="{10CB6257-F4FE-40C5-AD53-6C5E88774C89}"/>
    <cellStyle name="20% - Accent3 2 2 6 2 4" xfId="21000" xr:uid="{C5585BC8-0FBA-474D-9DCD-1CE13900761F}"/>
    <cellStyle name="20% - Accent3 2 2 6 3" xfId="6175" xr:uid="{00000000-0005-0000-0000-000067010000}"/>
    <cellStyle name="20% - Accent3 2 2 6 3 2" xfId="14625" xr:uid="{5E0A17D1-013A-4676-ACF9-7992E439C6FB}"/>
    <cellStyle name="20% - Accent3 2 2 6 3 3" xfId="23072" xr:uid="{9E484013-EAD5-4888-B775-A6A7842A471F}"/>
    <cellStyle name="20% - Accent3 2 2 6 4" xfId="10407" xr:uid="{597D2095-D8D8-429F-81EA-0814916AF791}"/>
    <cellStyle name="20% - Accent3 2 2 6 5" xfId="18855" xr:uid="{AA33CAEC-DA63-402A-A4E1-EDBF1D0D7E36}"/>
    <cellStyle name="20% - Accent3 2 2 7" xfId="2282" xr:uid="{00000000-0005-0000-0000-000068010000}"/>
    <cellStyle name="20% - Accent3 2 2 7 2" xfId="6588" xr:uid="{00000000-0005-0000-0000-000069010000}"/>
    <cellStyle name="20% - Accent3 2 2 7 2 2" xfId="15038" xr:uid="{5D2222AB-AD07-4A90-AD64-ED6AC9349C32}"/>
    <cellStyle name="20% - Accent3 2 2 7 2 3" xfId="23485" xr:uid="{E75F8947-66E7-4EAE-96FD-7BE0C6A77147}"/>
    <cellStyle name="20% - Accent3 2 2 7 3" xfId="10820" xr:uid="{92AE1E4A-E50F-4728-A34C-B10BCE35E975}"/>
    <cellStyle name="20% - Accent3 2 2 7 4" xfId="19268" xr:uid="{7450A131-E304-46AF-AAA4-3C795B399331}"/>
    <cellStyle name="20% - Accent3 2 2 8" xfId="4522" xr:uid="{00000000-0005-0000-0000-00006A010000}"/>
    <cellStyle name="20% - Accent3 2 2 8 2" xfId="12972" xr:uid="{1B334CFD-189F-4879-9148-7033BD059372}"/>
    <cellStyle name="20% - Accent3 2 2 8 3" xfId="21419" xr:uid="{161262C7-A5B2-48FC-BE67-10EA862CC9F6}"/>
    <cellStyle name="20% - Accent3 2 2 9" xfId="8754" xr:uid="{09B12E03-388E-4ED4-BA77-8667C35514F7}"/>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2 2 2" xfId="15533" xr:uid="{CB1ABFC5-BC05-4AEC-B671-C837A9E672B7}"/>
    <cellStyle name="20% - Accent3 2 3 2 2 2 3" xfId="23980" xr:uid="{F3D24FE9-24B1-4B28-A366-1FFF1418D1F7}"/>
    <cellStyle name="20% - Accent3 2 3 2 2 3" xfId="11315" xr:uid="{2D775CCE-267A-498D-8C08-EF6767306A6E}"/>
    <cellStyle name="20% - Accent3 2 3 2 2 4" xfId="19763" xr:uid="{BCF03BE5-263E-4414-A44B-7A088F7433B6}"/>
    <cellStyle name="20% - Accent3 2 3 2 3" xfId="4938" xr:uid="{00000000-0005-0000-0000-00006F010000}"/>
    <cellStyle name="20% - Accent3 2 3 2 3 2" xfId="13388" xr:uid="{7D797BC5-8D7F-49D4-AA84-07238F0817AD}"/>
    <cellStyle name="20% - Accent3 2 3 2 3 3" xfId="21835" xr:uid="{C2C1B797-0115-43DD-B4E9-0C34EFEC8D0F}"/>
    <cellStyle name="20% - Accent3 2 3 2 4" xfId="9170" xr:uid="{28D18959-B389-4A94-9C59-DDD01E49EFDA}"/>
    <cellStyle name="20% - Accent3 2 3 2 5" xfId="17618" xr:uid="{42EA9BC9-679A-40DC-B749-F648229B06EA}"/>
    <cellStyle name="20% - Accent3 2 3 3" xfId="1043" xr:uid="{00000000-0005-0000-0000-000070010000}"/>
    <cellStyle name="20% - Accent3 2 3 3 2" xfId="3274" xr:uid="{00000000-0005-0000-0000-000071010000}"/>
    <cellStyle name="20% - Accent3 2 3 3 2 2" xfId="7496" xr:uid="{00000000-0005-0000-0000-000072010000}"/>
    <cellStyle name="20% - Accent3 2 3 3 2 2 2" xfId="15946" xr:uid="{4576AA48-31F9-44E1-A938-931A1706362F}"/>
    <cellStyle name="20% - Accent3 2 3 3 2 2 3" xfId="24393" xr:uid="{4FAE1299-26C8-477F-A7CF-E7ADF1BAC222}"/>
    <cellStyle name="20% - Accent3 2 3 3 2 3" xfId="11728" xr:uid="{4292BB35-2A56-416F-B0C5-E66F70473E13}"/>
    <cellStyle name="20% - Accent3 2 3 3 2 4" xfId="20176" xr:uid="{F7FA631D-BA85-47DE-AD43-12FC7D06F0C1}"/>
    <cellStyle name="20% - Accent3 2 3 3 3" xfId="5351" xr:uid="{00000000-0005-0000-0000-000073010000}"/>
    <cellStyle name="20% - Accent3 2 3 3 3 2" xfId="13801" xr:uid="{0F0BDB73-CED8-407B-9426-FF0090BAAC96}"/>
    <cellStyle name="20% - Accent3 2 3 3 3 3" xfId="22248" xr:uid="{30D67CA6-DA2F-456E-9E0A-8A937EEA0D78}"/>
    <cellStyle name="20% - Accent3 2 3 3 4" xfId="9583" xr:uid="{B8463BD5-E996-4FDA-8B16-3CBC4D2ED048}"/>
    <cellStyle name="20% - Accent3 2 3 3 5" xfId="18031" xr:uid="{686A8365-8206-49B5-AEAA-8CD06B27F21D}"/>
    <cellStyle name="20% - Accent3 2 3 4" xfId="1457" xr:uid="{00000000-0005-0000-0000-000074010000}"/>
    <cellStyle name="20% - Accent3 2 3 4 2" xfId="3687" xr:uid="{00000000-0005-0000-0000-000075010000}"/>
    <cellStyle name="20% - Accent3 2 3 4 2 2" xfId="7909" xr:uid="{00000000-0005-0000-0000-000076010000}"/>
    <cellStyle name="20% - Accent3 2 3 4 2 2 2" xfId="16359" xr:uid="{395F2D18-D738-4723-9175-88D9D399A7E0}"/>
    <cellStyle name="20% - Accent3 2 3 4 2 2 3" xfId="24806" xr:uid="{55A9F0ED-AE29-4761-82FB-8DB624E51280}"/>
    <cellStyle name="20% - Accent3 2 3 4 2 3" xfId="12141" xr:uid="{BF6B708D-FCA1-4D0A-9ACC-D70EAA4FAC37}"/>
    <cellStyle name="20% - Accent3 2 3 4 2 4" xfId="20589" xr:uid="{3F89BF8F-0242-4B43-9449-E79C91D7EDB3}"/>
    <cellStyle name="20% - Accent3 2 3 4 3" xfId="5764" xr:uid="{00000000-0005-0000-0000-000077010000}"/>
    <cellStyle name="20% - Accent3 2 3 4 3 2" xfId="14214" xr:uid="{695ABC73-A79F-43CB-A6F6-980984C55DDE}"/>
    <cellStyle name="20% - Accent3 2 3 4 3 3" xfId="22661" xr:uid="{F9E1AE8F-6734-4BE6-8D24-9586BB0E3FC0}"/>
    <cellStyle name="20% - Accent3 2 3 4 4" xfId="9996" xr:uid="{9B897C9B-26E6-4991-A941-103F1816A501}"/>
    <cellStyle name="20% - Accent3 2 3 4 5" xfId="18444" xr:uid="{C7A7BAB2-C7FE-4908-B0A7-B31C5A44C1ED}"/>
    <cellStyle name="20% - Accent3 2 3 5" xfId="1871" xr:uid="{00000000-0005-0000-0000-000078010000}"/>
    <cellStyle name="20% - Accent3 2 3 5 2" xfId="4100" xr:uid="{00000000-0005-0000-0000-000079010000}"/>
    <cellStyle name="20% - Accent3 2 3 5 2 2" xfId="8322" xr:uid="{00000000-0005-0000-0000-00007A010000}"/>
    <cellStyle name="20% - Accent3 2 3 5 2 2 2" xfId="16772" xr:uid="{466C7F14-AE97-4B75-B4A4-ABD83EE881C9}"/>
    <cellStyle name="20% - Accent3 2 3 5 2 2 3" xfId="25219" xr:uid="{E5EF9B0D-9FCE-4C28-99F0-A4F5069B31A4}"/>
    <cellStyle name="20% - Accent3 2 3 5 2 3" xfId="12554" xr:uid="{158ED202-2E27-490E-9663-4D539A7F4611}"/>
    <cellStyle name="20% - Accent3 2 3 5 2 4" xfId="21002" xr:uid="{2D5343B6-574A-4F95-BBE7-9DC0F368C4F8}"/>
    <cellStyle name="20% - Accent3 2 3 5 3" xfId="6177" xr:uid="{00000000-0005-0000-0000-00007B010000}"/>
    <cellStyle name="20% - Accent3 2 3 5 3 2" xfId="14627" xr:uid="{F0C15EFB-47E1-48CA-A503-B8EBACC75030}"/>
    <cellStyle name="20% - Accent3 2 3 5 3 3" xfId="23074" xr:uid="{120B767D-A14C-4B1A-8A42-A45301C43E5A}"/>
    <cellStyle name="20% - Accent3 2 3 5 4" xfId="10409" xr:uid="{1E5E633A-3DB2-459D-A884-30EBAEBF300F}"/>
    <cellStyle name="20% - Accent3 2 3 5 5" xfId="18857" xr:uid="{E5055324-E141-45EB-B72E-CB6D4343F6AD}"/>
    <cellStyle name="20% - Accent3 2 3 6" xfId="2284" xr:uid="{00000000-0005-0000-0000-00007C010000}"/>
    <cellStyle name="20% - Accent3 2 3 6 2" xfId="6590" xr:uid="{00000000-0005-0000-0000-00007D010000}"/>
    <cellStyle name="20% - Accent3 2 3 6 2 2" xfId="15040" xr:uid="{1EF4FA14-CE47-4BB7-BA8A-059010839E16}"/>
    <cellStyle name="20% - Accent3 2 3 6 2 3" xfId="23487" xr:uid="{BEF48A25-31EC-4CF9-8F9A-D9E7B0C2EDE3}"/>
    <cellStyle name="20% - Accent3 2 3 6 3" xfId="10822" xr:uid="{AEF444CB-F592-45A1-97FB-8863C1D553FC}"/>
    <cellStyle name="20% - Accent3 2 3 6 4" xfId="19270" xr:uid="{F8DD3D1A-B432-463F-B8DB-56ADF82EB332}"/>
    <cellStyle name="20% - Accent3 2 3 7" xfId="4524" xr:uid="{00000000-0005-0000-0000-00007E010000}"/>
    <cellStyle name="20% - Accent3 2 3 7 2" xfId="12974" xr:uid="{8408B182-A37D-46A0-A43E-BE6EFB176092}"/>
    <cellStyle name="20% - Accent3 2 3 7 3" xfId="21421" xr:uid="{5AAB261E-9EA8-4C2B-A871-14999564F47F}"/>
    <cellStyle name="20% - Accent3 2 3 8" xfId="8756" xr:uid="{23BFE967-9731-4CF2-8D16-0A1965E76A4C}"/>
    <cellStyle name="20% - Accent3 2 3 9" xfId="17204" xr:uid="{125DAF8B-BF26-4A96-8F0C-49DA7CBDD80E}"/>
    <cellStyle name="20% - Accent3 2 4" xfId="587" xr:uid="{00000000-0005-0000-0000-00007F010000}"/>
    <cellStyle name="20% - Accent3 2 4 2" xfId="2858" xr:uid="{00000000-0005-0000-0000-000080010000}"/>
    <cellStyle name="20% - Accent3 2 4 2 2" xfId="7080" xr:uid="{00000000-0005-0000-0000-000081010000}"/>
    <cellStyle name="20% - Accent3 2 4 2 2 2" xfId="15530" xr:uid="{6B1E1945-4713-422F-BB0B-C71E52F4B3C7}"/>
    <cellStyle name="20% - Accent3 2 4 2 2 3" xfId="23977" xr:uid="{1A8B360D-16A9-4FE5-A9F6-B1A8A3A98FBF}"/>
    <cellStyle name="20% - Accent3 2 4 2 3" xfId="11312" xr:uid="{ECC55AB8-3AE9-4A6B-9135-AA9704E02E5C}"/>
    <cellStyle name="20% - Accent3 2 4 2 4" xfId="19760" xr:uid="{02797CA3-24A9-4C55-A9BC-58BFAEB14272}"/>
    <cellStyle name="20% - Accent3 2 4 3" xfId="4935" xr:uid="{00000000-0005-0000-0000-000082010000}"/>
    <cellStyle name="20% - Accent3 2 4 3 2" xfId="13385" xr:uid="{4A91DBAB-0610-43E0-89FF-D9C3C07D3F55}"/>
    <cellStyle name="20% - Accent3 2 4 3 3" xfId="21832" xr:uid="{01A34486-52B7-4A72-8026-225A0B6F2F56}"/>
    <cellStyle name="20% - Accent3 2 4 4" xfId="9167" xr:uid="{284DDECF-6416-4DCF-B58D-44BD00F67E92}"/>
    <cellStyle name="20% - Accent3 2 4 5" xfId="17615" xr:uid="{B43E0BCE-A8B6-474E-8C4C-297444FD1DBA}"/>
    <cellStyle name="20% - Accent3 2 5" xfId="1040" xr:uid="{00000000-0005-0000-0000-000083010000}"/>
    <cellStyle name="20% - Accent3 2 5 2" xfId="3271" xr:uid="{00000000-0005-0000-0000-000084010000}"/>
    <cellStyle name="20% - Accent3 2 5 2 2" xfId="7493" xr:uid="{00000000-0005-0000-0000-000085010000}"/>
    <cellStyle name="20% - Accent3 2 5 2 2 2" xfId="15943" xr:uid="{1D3ADB91-C0DC-4A08-BE71-5A5D48A14B15}"/>
    <cellStyle name="20% - Accent3 2 5 2 2 3" xfId="24390" xr:uid="{16842BAF-CA04-4B5A-9C35-DB898144E94D}"/>
    <cellStyle name="20% - Accent3 2 5 2 3" xfId="11725" xr:uid="{B5DF6FC4-43C0-4ACC-87FB-483C69631476}"/>
    <cellStyle name="20% - Accent3 2 5 2 4" xfId="20173" xr:uid="{AEE00370-4BDF-4882-9F37-DB2144D1C1F3}"/>
    <cellStyle name="20% - Accent3 2 5 3" xfId="5348" xr:uid="{00000000-0005-0000-0000-000086010000}"/>
    <cellStyle name="20% - Accent3 2 5 3 2" xfId="13798" xr:uid="{41CA3226-F245-4087-A199-2E779993C264}"/>
    <cellStyle name="20% - Accent3 2 5 3 3" xfId="22245" xr:uid="{73D24CB9-E666-48C8-A142-7F4DB121C9B6}"/>
    <cellStyle name="20% - Accent3 2 5 4" xfId="9580" xr:uid="{5564C7EB-6D6C-49D6-98E0-12E6EA82A8E7}"/>
    <cellStyle name="20% - Accent3 2 5 5" xfId="18028" xr:uid="{9DA3FAF2-4658-465C-AF5E-92887B399CDB}"/>
    <cellStyle name="20% - Accent3 2 6" xfId="1454" xr:uid="{00000000-0005-0000-0000-000087010000}"/>
    <cellStyle name="20% - Accent3 2 6 2" xfId="3684" xr:uid="{00000000-0005-0000-0000-000088010000}"/>
    <cellStyle name="20% - Accent3 2 6 2 2" xfId="7906" xr:uid="{00000000-0005-0000-0000-000089010000}"/>
    <cellStyle name="20% - Accent3 2 6 2 2 2" xfId="16356" xr:uid="{4F0BDEDC-F6B6-4320-BFC5-1BFE898A5099}"/>
    <cellStyle name="20% - Accent3 2 6 2 2 3" xfId="24803" xr:uid="{1EC04DBE-95F2-4714-8CA9-5D1830DC6642}"/>
    <cellStyle name="20% - Accent3 2 6 2 3" xfId="12138" xr:uid="{EA794705-53FE-421D-B704-F1B67318EA38}"/>
    <cellStyle name="20% - Accent3 2 6 2 4" xfId="20586" xr:uid="{1140AF10-29FE-487C-AB01-ACC3A3A34FE6}"/>
    <cellStyle name="20% - Accent3 2 6 3" xfId="5761" xr:uid="{00000000-0005-0000-0000-00008A010000}"/>
    <cellStyle name="20% - Accent3 2 6 3 2" xfId="14211" xr:uid="{AE8C945C-8AEB-45FA-B1BC-D2E02874858C}"/>
    <cellStyle name="20% - Accent3 2 6 3 3" xfId="22658" xr:uid="{7739800A-2C3E-4192-B1D2-8163C1E53436}"/>
    <cellStyle name="20% - Accent3 2 6 4" xfId="9993" xr:uid="{A172BCCF-666E-44C6-9288-808B893D2276}"/>
    <cellStyle name="20% - Accent3 2 6 5" xfId="18441" xr:uid="{56E2F78B-685D-484F-9FDC-14CAEFD3F5F4}"/>
    <cellStyle name="20% - Accent3 2 7" xfId="1868" xr:uid="{00000000-0005-0000-0000-00008B010000}"/>
    <cellStyle name="20% - Accent3 2 7 2" xfId="4097" xr:uid="{00000000-0005-0000-0000-00008C010000}"/>
    <cellStyle name="20% - Accent3 2 7 2 2" xfId="8319" xr:uid="{00000000-0005-0000-0000-00008D010000}"/>
    <cellStyle name="20% - Accent3 2 7 2 2 2" xfId="16769" xr:uid="{74AEF008-B69D-4E2B-BD26-B17A3440DA95}"/>
    <cellStyle name="20% - Accent3 2 7 2 2 3" xfId="25216" xr:uid="{9D9494F3-0DC0-4A7A-BFEA-F2C598E1DC5E}"/>
    <cellStyle name="20% - Accent3 2 7 2 3" xfId="12551" xr:uid="{E0DCCD2B-2CE8-4BDF-A9C6-3995034D14AC}"/>
    <cellStyle name="20% - Accent3 2 7 2 4" xfId="20999" xr:uid="{36E47D0E-4CE2-4D0B-A769-EB9F2B96724B}"/>
    <cellStyle name="20% - Accent3 2 7 3" xfId="6174" xr:uid="{00000000-0005-0000-0000-00008E010000}"/>
    <cellStyle name="20% - Accent3 2 7 3 2" xfId="14624" xr:uid="{3346EA59-5F19-4FC2-9B7A-F4789ED3D9A7}"/>
    <cellStyle name="20% - Accent3 2 7 3 3" xfId="23071" xr:uid="{F0E32832-1CDC-461D-9AD3-E2A720F7A5C2}"/>
    <cellStyle name="20% - Accent3 2 7 4" xfId="10406" xr:uid="{7D681397-3525-4570-B34E-527954789477}"/>
    <cellStyle name="20% - Accent3 2 7 5" xfId="18854" xr:uid="{413476F0-A1C5-474F-AFE1-DA129996F9F3}"/>
    <cellStyle name="20% - Accent3 2 8" xfId="2281" xr:uid="{00000000-0005-0000-0000-00008F010000}"/>
    <cellStyle name="20% - Accent3 2 8 2" xfId="6587" xr:uid="{00000000-0005-0000-0000-000090010000}"/>
    <cellStyle name="20% - Accent3 2 8 2 2" xfId="15037" xr:uid="{9B80BBCC-5114-4D96-ADE1-B4F0E43A48C7}"/>
    <cellStyle name="20% - Accent3 2 8 2 3" xfId="23484" xr:uid="{8E2BBF68-785E-4B1F-A8D2-D87E2F082961}"/>
    <cellStyle name="20% - Accent3 2 8 3" xfId="10819" xr:uid="{677A5578-0039-4932-A67C-CB2E404387C4}"/>
    <cellStyle name="20% - Accent3 2 8 4" xfId="19267" xr:uid="{A09DCF99-BC36-4980-9478-758E4C4DFD2E}"/>
    <cellStyle name="20% - Accent3 2 9" xfId="4521" xr:uid="{00000000-0005-0000-0000-000091010000}"/>
    <cellStyle name="20% - Accent3 2 9 2" xfId="12971" xr:uid="{4C7D7F39-6803-4AEA-9A61-2E10CBFE264B}"/>
    <cellStyle name="20% - Accent3 2 9 3" xfId="21418" xr:uid="{7563C43F-FB0E-4B1E-B514-71BDE2B8624A}"/>
    <cellStyle name="20% - Accent3 3" xfId="22" xr:uid="{00000000-0005-0000-0000-000092010000}"/>
    <cellStyle name="20% - Accent3 3 10" xfId="17205" xr:uid="{BE64E6EC-44D1-45BD-939A-0B7DCFE51653}"/>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2 2 2" xfId="15535" xr:uid="{D53DEC8C-998E-45D1-9A96-EBF39032B56E}"/>
    <cellStyle name="20% - Accent3 3 2 2 2 2 3" xfId="23982" xr:uid="{35C5F20C-89B6-46A0-8E67-0C342C668771}"/>
    <cellStyle name="20% - Accent3 3 2 2 2 3" xfId="11317" xr:uid="{36071C15-DA37-4350-9139-364963125A3B}"/>
    <cellStyle name="20% - Accent3 3 2 2 2 4" xfId="19765" xr:uid="{3B2AD753-7D5F-4549-AABF-F4C2DA256B99}"/>
    <cellStyle name="20% - Accent3 3 2 2 3" xfId="4940" xr:uid="{00000000-0005-0000-0000-000097010000}"/>
    <cellStyle name="20% - Accent3 3 2 2 3 2" xfId="13390" xr:uid="{264C9653-D124-4795-A5DD-631A9C75DE55}"/>
    <cellStyle name="20% - Accent3 3 2 2 3 3" xfId="21837" xr:uid="{3774C833-F5B2-445D-AE13-12F9808E5B7E}"/>
    <cellStyle name="20% - Accent3 3 2 2 4" xfId="9172" xr:uid="{47E6B2C5-E6F7-4CB2-8D5E-039F58ABE6BB}"/>
    <cellStyle name="20% - Accent3 3 2 2 5" xfId="17620" xr:uid="{12972D90-A61C-4C9F-AEA9-0FDE918CA7BB}"/>
    <cellStyle name="20% - Accent3 3 2 3" xfId="1045" xr:uid="{00000000-0005-0000-0000-000098010000}"/>
    <cellStyle name="20% - Accent3 3 2 3 2" xfId="3276" xr:uid="{00000000-0005-0000-0000-000099010000}"/>
    <cellStyle name="20% - Accent3 3 2 3 2 2" xfId="7498" xr:uid="{00000000-0005-0000-0000-00009A010000}"/>
    <cellStyle name="20% - Accent3 3 2 3 2 2 2" xfId="15948" xr:uid="{F1F3768A-1DD6-473A-B679-8F1373DDF7C1}"/>
    <cellStyle name="20% - Accent3 3 2 3 2 2 3" xfId="24395" xr:uid="{A15E885A-7884-4CA0-A18B-C355F997AC32}"/>
    <cellStyle name="20% - Accent3 3 2 3 2 3" xfId="11730" xr:uid="{2540DD75-BC66-46E7-BDB5-47D0F259B8DD}"/>
    <cellStyle name="20% - Accent3 3 2 3 2 4" xfId="20178" xr:uid="{60747C77-66E4-4267-AAE7-4517F607E17E}"/>
    <cellStyle name="20% - Accent3 3 2 3 3" xfId="5353" xr:uid="{00000000-0005-0000-0000-00009B010000}"/>
    <cellStyle name="20% - Accent3 3 2 3 3 2" xfId="13803" xr:uid="{54A3C544-16FD-4403-99A9-7E4A9712EE53}"/>
    <cellStyle name="20% - Accent3 3 2 3 3 3" xfId="22250" xr:uid="{7918682D-1755-4BAA-B446-10F3F40E7D05}"/>
    <cellStyle name="20% - Accent3 3 2 3 4" xfId="9585" xr:uid="{DADDA369-348C-47A8-B631-0297F9FE7CC8}"/>
    <cellStyle name="20% - Accent3 3 2 3 5" xfId="18033" xr:uid="{B9F67F0B-0BD0-43C7-AD86-5E99581FE584}"/>
    <cellStyle name="20% - Accent3 3 2 4" xfId="1459" xr:uid="{00000000-0005-0000-0000-00009C010000}"/>
    <cellStyle name="20% - Accent3 3 2 4 2" xfId="3689" xr:uid="{00000000-0005-0000-0000-00009D010000}"/>
    <cellStyle name="20% - Accent3 3 2 4 2 2" xfId="7911" xr:uid="{00000000-0005-0000-0000-00009E010000}"/>
    <cellStyle name="20% - Accent3 3 2 4 2 2 2" xfId="16361" xr:uid="{3BF1B936-E5FE-4AB7-A5E9-2DEFD5B02E38}"/>
    <cellStyle name="20% - Accent3 3 2 4 2 2 3" xfId="24808" xr:uid="{B2432F65-B31D-49CB-A4D2-10B311D0B3A6}"/>
    <cellStyle name="20% - Accent3 3 2 4 2 3" xfId="12143" xr:uid="{38ED8131-95B5-460F-87B4-63D2DA65FB3E}"/>
    <cellStyle name="20% - Accent3 3 2 4 2 4" xfId="20591" xr:uid="{7B59255F-CB9F-48AB-90B2-1365E758E3A7}"/>
    <cellStyle name="20% - Accent3 3 2 4 3" xfId="5766" xr:uid="{00000000-0005-0000-0000-00009F010000}"/>
    <cellStyle name="20% - Accent3 3 2 4 3 2" xfId="14216" xr:uid="{4EC0FB4F-99EE-437C-80A6-461A486E0370}"/>
    <cellStyle name="20% - Accent3 3 2 4 3 3" xfId="22663" xr:uid="{10B8954D-4D8D-470D-892A-734EA20F73C6}"/>
    <cellStyle name="20% - Accent3 3 2 4 4" xfId="9998" xr:uid="{23639621-3ECF-42B1-8E6C-AF19FA420E57}"/>
    <cellStyle name="20% - Accent3 3 2 4 5" xfId="18446" xr:uid="{2E406CE5-8837-4586-AB68-E8770FB7CEF8}"/>
    <cellStyle name="20% - Accent3 3 2 5" xfId="1873" xr:uid="{00000000-0005-0000-0000-0000A0010000}"/>
    <cellStyle name="20% - Accent3 3 2 5 2" xfId="4102" xr:uid="{00000000-0005-0000-0000-0000A1010000}"/>
    <cellStyle name="20% - Accent3 3 2 5 2 2" xfId="8324" xr:uid="{00000000-0005-0000-0000-0000A2010000}"/>
    <cellStyle name="20% - Accent3 3 2 5 2 2 2" xfId="16774" xr:uid="{064E5E99-8977-4773-83A9-E1A3D0F87822}"/>
    <cellStyle name="20% - Accent3 3 2 5 2 2 3" xfId="25221" xr:uid="{184D2DB1-F541-47B6-9024-7033E542E839}"/>
    <cellStyle name="20% - Accent3 3 2 5 2 3" xfId="12556" xr:uid="{D331713B-ACBE-4C03-957B-FFDDE5C45B30}"/>
    <cellStyle name="20% - Accent3 3 2 5 2 4" xfId="21004" xr:uid="{F655F65C-8714-467D-8426-945EB16A65D2}"/>
    <cellStyle name="20% - Accent3 3 2 5 3" xfId="6179" xr:uid="{00000000-0005-0000-0000-0000A3010000}"/>
    <cellStyle name="20% - Accent3 3 2 5 3 2" xfId="14629" xr:uid="{94805CC9-D920-4638-B77F-7BD50CF83716}"/>
    <cellStyle name="20% - Accent3 3 2 5 3 3" xfId="23076" xr:uid="{159E771F-B500-4776-B829-9231F7CECC6B}"/>
    <cellStyle name="20% - Accent3 3 2 5 4" xfId="10411" xr:uid="{111ABC88-E134-404C-8BAA-E788ACCF8F34}"/>
    <cellStyle name="20% - Accent3 3 2 5 5" xfId="18859" xr:uid="{1EF60366-A11F-4C57-8268-32C06E7F1E05}"/>
    <cellStyle name="20% - Accent3 3 2 6" xfId="2286" xr:uid="{00000000-0005-0000-0000-0000A4010000}"/>
    <cellStyle name="20% - Accent3 3 2 6 2" xfId="6592" xr:uid="{00000000-0005-0000-0000-0000A5010000}"/>
    <cellStyle name="20% - Accent3 3 2 6 2 2" xfId="15042" xr:uid="{1DF737CE-C3D9-4C3A-9EED-A6819C75359D}"/>
    <cellStyle name="20% - Accent3 3 2 6 2 3" xfId="23489" xr:uid="{FB4B3A5B-DE5F-4B7D-A801-1E82EEE8CDBF}"/>
    <cellStyle name="20% - Accent3 3 2 6 3" xfId="10824" xr:uid="{E75F54C5-0A19-4CEE-8124-AFB1815D1A34}"/>
    <cellStyle name="20% - Accent3 3 2 6 4" xfId="19272" xr:uid="{E09016F8-7EE7-4E61-93D2-C9E1DED6361E}"/>
    <cellStyle name="20% - Accent3 3 2 7" xfId="4526" xr:uid="{00000000-0005-0000-0000-0000A6010000}"/>
    <cellStyle name="20% - Accent3 3 2 7 2" xfId="12976" xr:uid="{16A1D479-8BB6-4696-A32C-332C9F6CE202}"/>
    <cellStyle name="20% - Accent3 3 2 7 3" xfId="21423" xr:uid="{71C1CC9E-7F6D-4340-A74D-78C937DF94B0}"/>
    <cellStyle name="20% - Accent3 3 2 8" xfId="8758" xr:uid="{A80B0AA4-A1DB-4FA3-96BE-0B6C4CE248B6}"/>
    <cellStyle name="20% - Accent3 3 2 9" xfId="17206" xr:uid="{EAE4E799-91F2-49C0-AD76-C1B47C763C19}"/>
    <cellStyle name="20% - Accent3 3 3" xfId="591" xr:uid="{00000000-0005-0000-0000-0000A7010000}"/>
    <cellStyle name="20% - Accent3 3 3 2" xfId="2862" xr:uid="{00000000-0005-0000-0000-0000A8010000}"/>
    <cellStyle name="20% - Accent3 3 3 2 2" xfId="7084" xr:uid="{00000000-0005-0000-0000-0000A9010000}"/>
    <cellStyle name="20% - Accent3 3 3 2 2 2" xfId="15534" xr:uid="{465711F1-E408-4E97-9736-6571A2B5B232}"/>
    <cellStyle name="20% - Accent3 3 3 2 2 3" xfId="23981" xr:uid="{3E8AFFE5-93AF-4658-82DE-D5FA0E46B3F0}"/>
    <cellStyle name="20% - Accent3 3 3 2 3" xfId="11316" xr:uid="{88D238A1-C31C-41DE-AB9E-2298B8F35C24}"/>
    <cellStyle name="20% - Accent3 3 3 2 4" xfId="19764" xr:uid="{D072AB38-FCB4-4E8B-9DA5-6F9309C5F422}"/>
    <cellStyle name="20% - Accent3 3 3 3" xfId="4939" xr:uid="{00000000-0005-0000-0000-0000AA010000}"/>
    <cellStyle name="20% - Accent3 3 3 3 2" xfId="13389" xr:uid="{5BD12973-E2D9-4F4E-8A6F-DAD2EDA8BAB3}"/>
    <cellStyle name="20% - Accent3 3 3 3 3" xfId="21836" xr:uid="{5D67C48A-3820-4447-8E5F-0793C41E1808}"/>
    <cellStyle name="20% - Accent3 3 3 4" xfId="9171" xr:uid="{C63E7C42-9A21-45A1-9C87-B3EBEBAC3339}"/>
    <cellStyle name="20% - Accent3 3 3 5" xfId="17619" xr:uid="{9C3E8B4D-5EAF-41DD-9FE6-EDE999046E04}"/>
    <cellStyle name="20% - Accent3 3 4" xfId="1044" xr:uid="{00000000-0005-0000-0000-0000AB010000}"/>
    <cellStyle name="20% - Accent3 3 4 2" xfId="3275" xr:uid="{00000000-0005-0000-0000-0000AC010000}"/>
    <cellStyle name="20% - Accent3 3 4 2 2" xfId="7497" xr:uid="{00000000-0005-0000-0000-0000AD010000}"/>
    <cellStyle name="20% - Accent3 3 4 2 2 2" xfId="15947" xr:uid="{AD395D2C-4EE6-4F81-9A7E-ED44B0ABF5BF}"/>
    <cellStyle name="20% - Accent3 3 4 2 2 3" xfId="24394" xr:uid="{8808AA45-4C8C-4ABB-9E86-63BC5D6FD60E}"/>
    <cellStyle name="20% - Accent3 3 4 2 3" xfId="11729" xr:uid="{631AB65D-49D7-4E5F-8F25-14BD7E3D5B94}"/>
    <cellStyle name="20% - Accent3 3 4 2 4" xfId="20177" xr:uid="{04AD510D-7571-4F9C-81D7-CF5276E0CDB3}"/>
    <cellStyle name="20% - Accent3 3 4 3" xfId="5352" xr:uid="{00000000-0005-0000-0000-0000AE010000}"/>
    <cellStyle name="20% - Accent3 3 4 3 2" xfId="13802" xr:uid="{F3FBDA66-2C9D-444E-AA3A-8B3636344979}"/>
    <cellStyle name="20% - Accent3 3 4 3 3" xfId="22249" xr:uid="{23388F37-10AA-4277-9A7E-656F577BAF0F}"/>
    <cellStyle name="20% - Accent3 3 4 4" xfId="9584" xr:uid="{72B964F7-22DD-459A-A7D3-E464A6F08EAF}"/>
    <cellStyle name="20% - Accent3 3 4 5" xfId="18032" xr:uid="{2B85567D-372F-47C3-BA40-8AB8C23CD804}"/>
    <cellStyle name="20% - Accent3 3 5" xfId="1458" xr:uid="{00000000-0005-0000-0000-0000AF010000}"/>
    <cellStyle name="20% - Accent3 3 5 2" xfId="3688" xr:uid="{00000000-0005-0000-0000-0000B0010000}"/>
    <cellStyle name="20% - Accent3 3 5 2 2" xfId="7910" xr:uid="{00000000-0005-0000-0000-0000B1010000}"/>
    <cellStyle name="20% - Accent3 3 5 2 2 2" xfId="16360" xr:uid="{B9C7E38F-D193-47CF-862E-7ED995DBAC82}"/>
    <cellStyle name="20% - Accent3 3 5 2 2 3" xfId="24807" xr:uid="{5386760B-9F8A-4605-B5B4-F383EAA037E7}"/>
    <cellStyle name="20% - Accent3 3 5 2 3" xfId="12142" xr:uid="{A7F3DF5B-D417-41A5-B801-8AB01BE3D473}"/>
    <cellStyle name="20% - Accent3 3 5 2 4" xfId="20590" xr:uid="{C7628438-E3E9-4FD4-AE9B-2897BAB1CEC0}"/>
    <cellStyle name="20% - Accent3 3 5 3" xfId="5765" xr:uid="{00000000-0005-0000-0000-0000B2010000}"/>
    <cellStyle name="20% - Accent3 3 5 3 2" xfId="14215" xr:uid="{FD60758E-CAD2-438F-84EC-C1695D8982A5}"/>
    <cellStyle name="20% - Accent3 3 5 3 3" xfId="22662" xr:uid="{6C44E555-FA30-4907-9AA3-35B4016E80E5}"/>
    <cellStyle name="20% - Accent3 3 5 4" xfId="9997" xr:uid="{CE9EE825-C879-436C-A4AD-B0426AEA181A}"/>
    <cellStyle name="20% - Accent3 3 5 5" xfId="18445" xr:uid="{08017DBC-D798-4B78-BCEF-1A6D86F9215A}"/>
    <cellStyle name="20% - Accent3 3 6" xfId="1872" xr:uid="{00000000-0005-0000-0000-0000B3010000}"/>
    <cellStyle name="20% - Accent3 3 6 2" xfId="4101" xr:uid="{00000000-0005-0000-0000-0000B4010000}"/>
    <cellStyle name="20% - Accent3 3 6 2 2" xfId="8323" xr:uid="{00000000-0005-0000-0000-0000B5010000}"/>
    <cellStyle name="20% - Accent3 3 6 2 2 2" xfId="16773" xr:uid="{B6C7DA4C-9A3F-48C1-80E4-66A2446E160B}"/>
    <cellStyle name="20% - Accent3 3 6 2 2 3" xfId="25220" xr:uid="{9D8CD878-2C82-4F24-9ABA-2F5F413347F2}"/>
    <cellStyle name="20% - Accent3 3 6 2 3" xfId="12555" xr:uid="{49ED29CA-1EC4-4A3E-AF04-CA0304200B67}"/>
    <cellStyle name="20% - Accent3 3 6 2 4" xfId="21003" xr:uid="{86B504DF-24E4-4A77-A5A0-C68997BA5696}"/>
    <cellStyle name="20% - Accent3 3 6 3" xfId="6178" xr:uid="{00000000-0005-0000-0000-0000B6010000}"/>
    <cellStyle name="20% - Accent3 3 6 3 2" xfId="14628" xr:uid="{1282D0DF-E8D6-4FD3-80A9-7B0ADC487FCB}"/>
    <cellStyle name="20% - Accent3 3 6 3 3" xfId="23075" xr:uid="{94DB49EF-F227-4B77-89E9-AF893E6F652F}"/>
    <cellStyle name="20% - Accent3 3 6 4" xfId="10410" xr:uid="{7B3D1A6F-CE07-4CD8-BF03-25235C346906}"/>
    <cellStyle name="20% - Accent3 3 6 5" xfId="18858" xr:uid="{AC1B5B97-F17D-4885-9BF1-CA0910956453}"/>
    <cellStyle name="20% - Accent3 3 7" xfId="2285" xr:uid="{00000000-0005-0000-0000-0000B7010000}"/>
    <cellStyle name="20% - Accent3 3 7 2" xfId="6591" xr:uid="{00000000-0005-0000-0000-0000B8010000}"/>
    <cellStyle name="20% - Accent3 3 7 2 2" xfId="15041" xr:uid="{F3E4D751-C866-47C8-BC35-B0DAFE5116AF}"/>
    <cellStyle name="20% - Accent3 3 7 2 3" xfId="23488" xr:uid="{3B137EDC-3C99-4C20-BE14-461B06F0C214}"/>
    <cellStyle name="20% - Accent3 3 7 3" xfId="10823" xr:uid="{72E05B55-914B-43EF-B64C-A0544DA09AAD}"/>
    <cellStyle name="20% - Accent3 3 7 4" xfId="19271" xr:uid="{ED3D92C9-EFAF-41E4-90AA-A4E685722341}"/>
    <cellStyle name="20% - Accent3 3 8" xfId="4525" xr:uid="{00000000-0005-0000-0000-0000B9010000}"/>
    <cellStyle name="20% - Accent3 3 8 2" xfId="12975" xr:uid="{CCCA0115-25B1-4235-9816-4C1EF28FB414}"/>
    <cellStyle name="20% - Accent3 3 8 3" xfId="21422" xr:uid="{6DD3E84D-A50B-4AD8-91A7-FA857F56DECD}"/>
    <cellStyle name="20% - Accent3 3 9" xfId="8757" xr:uid="{81C29B34-41CE-4797-83A0-2C6F8EC4523F}"/>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2 2 2" xfId="15536" xr:uid="{4E6F8A3A-04F3-4BDD-A38D-A24DC7C839E9}"/>
    <cellStyle name="20% - Accent3 4 2 2 2 3" xfId="23983" xr:uid="{6CA73442-EE05-4BF3-AA3C-E415AD47A2B6}"/>
    <cellStyle name="20% - Accent3 4 2 2 3" xfId="11318" xr:uid="{D7630074-869F-49BD-A46B-181A393F2858}"/>
    <cellStyle name="20% - Accent3 4 2 2 4" xfId="19766" xr:uid="{9B0B49AA-734B-4642-BB90-1E925B7267CE}"/>
    <cellStyle name="20% - Accent3 4 2 3" xfId="4941" xr:uid="{00000000-0005-0000-0000-0000BE010000}"/>
    <cellStyle name="20% - Accent3 4 2 3 2" xfId="13391" xr:uid="{8CDE440A-7AF2-43EE-B059-798353E5E6CA}"/>
    <cellStyle name="20% - Accent3 4 2 3 3" xfId="21838" xr:uid="{E530B13E-9B8B-4127-AF37-F73F2C948C7E}"/>
    <cellStyle name="20% - Accent3 4 2 4" xfId="9173" xr:uid="{226C4AEF-D968-4D75-B6B6-48378D2BBE44}"/>
    <cellStyle name="20% - Accent3 4 2 5" xfId="17621" xr:uid="{B6FB9FE9-DAD7-4382-AF1E-FFCC05023ED8}"/>
    <cellStyle name="20% - Accent3 4 3" xfId="1046" xr:uid="{00000000-0005-0000-0000-0000BF010000}"/>
    <cellStyle name="20% - Accent3 4 3 2" xfId="3277" xr:uid="{00000000-0005-0000-0000-0000C0010000}"/>
    <cellStyle name="20% - Accent3 4 3 2 2" xfId="7499" xr:uid="{00000000-0005-0000-0000-0000C1010000}"/>
    <cellStyle name="20% - Accent3 4 3 2 2 2" xfId="15949" xr:uid="{F6B7EE0B-9C96-4BA4-8503-D07AF698E5F9}"/>
    <cellStyle name="20% - Accent3 4 3 2 2 3" xfId="24396" xr:uid="{20462023-3081-44AE-9BC6-79D11548FAA9}"/>
    <cellStyle name="20% - Accent3 4 3 2 3" xfId="11731" xr:uid="{C3A20E76-8FA3-4D05-940A-F25F82846BC6}"/>
    <cellStyle name="20% - Accent3 4 3 2 4" xfId="20179" xr:uid="{828AFE2F-914B-4D2F-84B4-F19A308E83EF}"/>
    <cellStyle name="20% - Accent3 4 3 3" xfId="5354" xr:uid="{00000000-0005-0000-0000-0000C2010000}"/>
    <cellStyle name="20% - Accent3 4 3 3 2" xfId="13804" xr:uid="{CC4E9477-EF96-4974-AFD2-B257E16E511E}"/>
    <cellStyle name="20% - Accent3 4 3 3 3" xfId="22251" xr:uid="{ECC45197-1705-47F1-B8E2-35F72AC079B0}"/>
    <cellStyle name="20% - Accent3 4 3 4" xfId="9586" xr:uid="{506CF733-C11C-4A99-89A4-1EFB8DE56E76}"/>
    <cellStyle name="20% - Accent3 4 3 5" xfId="18034" xr:uid="{0E5EA9A3-BF55-4477-B044-93F6B6DEAEA2}"/>
    <cellStyle name="20% - Accent3 4 4" xfId="1460" xr:uid="{00000000-0005-0000-0000-0000C3010000}"/>
    <cellStyle name="20% - Accent3 4 4 2" xfId="3690" xr:uid="{00000000-0005-0000-0000-0000C4010000}"/>
    <cellStyle name="20% - Accent3 4 4 2 2" xfId="7912" xr:uid="{00000000-0005-0000-0000-0000C5010000}"/>
    <cellStyle name="20% - Accent3 4 4 2 2 2" xfId="16362" xr:uid="{BB07BC3E-801E-4386-AF36-F7737A695583}"/>
    <cellStyle name="20% - Accent3 4 4 2 2 3" xfId="24809" xr:uid="{467A0352-4D3A-423D-A9AD-3EADCCF17481}"/>
    <cellStyle name="20% - Accent3 4 4 2 3" xfId="12144" xr:uid="{725829F8-E298-4557-8EA2-6AE26B250F5F}"/>
    <cellStyle name="20% - Accent3 4 4 2 4" xfId="20592" xr:uid="{D0CBA91C-48DD-4844-AA7E-D69B62275388}"/>
    <cellStyle name="20% - Accent3 4 4 3" xfId="5767" xr:uid="{00000000-0005-0000-0000-0000C6010000}"/>
    <cellStyle name="20% - Accent3 4 4 3 2" xfId="14217" xr:uid="{D56DB516-65FA-4CAB-B9B3-A35EE89897F8}"/>
    <cellStyle name="20% - Accent3 4 4 3 3" xfId="22664" xr:uid="{096E90C7-0489-4FC5-A023-244D3D6BE18A}"/>
    <cellStyle name="20% - Accent3 4 4 4" xfId="9999" xr:uid="{6DD93C25-E31C-4FF1-BE98-9FFA7C5BDEBA}"/>
    <cellStyle name="20% - Accent3 4 4 5" xfId="18447" xr:uid="{692F8D9C-FAEB-4AE7-A17F-052EE428F655}"/>
    <cellStyle name="20% - Accent3 4 5" xfId="1874" xr:uid="{00000000-0005-0000-0000-0000C7010000}"/>
    <cellStyle name="20% - Accent3 4 5 2" xfId="4103" xr:uid="{00000000-0005-0000-0000-0000C8010000}"/>
    <cellStyle name="20% - Accent3 4 5 2 2" xfId="8325" xr:uid="{00000000-0005-0000-0000-0000C9010000}"/>
    <cellStyle name="20% - Accent3 4 5 2 2 2" xfId="16775" xr:uid="{1EB3E1BA-FE4B-4AB2-B9E7-630FB34218F8}"/>
    <cellStyle name="20% - Accent3 4 5 2 2 3" xfId="25222" xr:uid="{C523C33C-6542-42E3-8A3B-7E38758087C8}"/>
    <cellStyle name="20% - Accent3 4 5 2 3" xfId="12557" xr:uid="{8B3EEE72-5713-4E3F-8C5D-5C576DBDFF88}"/>
    <cellStyle name="20% - Accent3 4 5 2 4" xfId="21005" xr:uid="{CB7F24B5-A6A1-4B82-BEE7-64DAAB18592F}"/>
    <cellStyle name="20% - Accent3 4 5 3" xfId="6180" xr:uid="{00000000-0005-0000-0000-0000CA010000}"/>
    <cellStyle name="20% - Accent3 4 5 3 2" xfId="14630" xr:uid="{5FB8B954-92DA-4B99-B7A6-921C7CC9D6EC}"/>
    <cellStyle name="20% - Accent3 4 5 3 3" xfId="23077" xr:uid="{A9C6BDDD-D13E-4F30-8B58-4C6AD6A9E853}"/>
    <cellStyle name="20% - Accent3 4 5 4" xfId="10412" xr:uid="{4BE6B5F5-86A2-4E2A-A7CE-7CC985C0771B}"/>
    <cellStyle name="20% - Accent3 4 5 5" xfId="18860" xr:uid="{F6904721-8246-4D0B-8D49-66B3C80C4D41}"/>
    <cellStyle name="20% - Accent3 4 6" xfId="2287" xr:uid="{00000000-0005-0000-0000-0000CB010000}"/>
    <cellStyle name="20% - Accent3 4 6 2" xfId="6593" xr:uid="{00000000-0005-0000-0000-0000CC010000}"/>
    <cellStyle name="20% - Accent3 4 6 2 2" xfId="15043" xr:uid="{98E7E37C-6800-4098-B381-4216F8CFFD31}"/>
    <cellStyle name="20% - Accent3 4 6 2 3" xfId="23490" xr:uid="{29CB6F41-1610-433F-96B1-8A6E0BA616B4}"/>
    <cellStyle name="20% - Accent3 4 6 3" xfId="10825" xr:uid="{7491144D-E0CA-4B4C-BD7B-DE8040D03F4C}"/>
    <cellStyle name="20% - Accent3 4 6 4" xfId="19273" xr:uid="{3E6C077C-E80E-4CCC-A8E9-09BB65560087}"/>
    <cellStyle name="20% - Accent3 4 7" xfId="4527" xr:uid="{00000000-0005-0000-0000-0000CD010000}"/>
    <cellStyle name="20% - Accent3 4 7 2" xfId="12977" xr:uid="{2991B505-E962-4714-A180-6D6F2D30071D}"/>
    <cellStyle name="20% - Accent3 4 7 3" xfId="21424" xr:uid="{7D804381-D313-4ADC-8CE7-4D2E62AD954A}"/>
    <cellStyle name="20% - Accent3 4 8" xfId="8759" xr:uid="{61461E10-1C0B-472F-9B53-350F690007E1}"/>
    <cellStyle name="20% - Accent3 4 9" xfId="17207" xr:uid="{7D3EF8E4-7DE3-4E5A-B232-8597379F4048}"/>
    <cellStyle name="20% - Accent3 5" xfId="586" xr:uid="{00000000-0005-0000-0000-0000CE010000}"/>
    <cellStyle name="20% - Accent3 5 2" xfId="2857" xr:uid="{00000000-0005-0000-0000-0000CF010000}"/>
    <cellStyle name="20% - Accent3 5 2 2" xfId="7079" xr:uid="{00000000-0005-0000-0000-0000D0010000}"/>
    <cellStyle name="20% - Accent3 5 2 2 2" xfId="15529" xr:uid="{BF815C43-F8B7-48E5-A8D9-64038D55607A}"/>
    <cellStyle name="20% - Accent3 5 2 2 3" xfId="23976" xr:uid="{248E8543-46DB-4B8D-A73D-F7108AFD2ED4}"/>
    <cellStyle name="20% - Accent3 5 2 3" xfId="11311" xr:uid="{AAC6BE74-DEE1-4BF4-98A4-1DF00BB4F76F}"/>
    <cellStyle name="20% - Accent3 5 2 4" xfId="19759" xr:uid="{3D7458F9-2F2F-42F2-AAC5-A4AAEB6D49C1}"/>
    <cellStyle name="20% - Accent3 5 3" xfId="4934" xr:uid="{00000000-0005-0000-0000-0000D1010000}"/>
    <cellStyle name="20% - Accent3 5 3 2" xfId="13384" xr:uid="{7149A9C1-D77F-497F-B2A1-D265DDC0ADE2}"/>
    <cellStyle name="20% - Accent3 5 3 3" xfId="21831" xr:uid="{CEFB3A20-0491-47F2-96E4-9E46B61D1736}"/>
    <cellStyle name="20% - Accent3 5 4" xfId="9166" xr:uid="{B32EC55E-965F-4D7D-82D3-0553F2CBB692}"/>
    <cellStyle name="20% - Accent3 5 5" xfId="17614" xr:uid="{207223B4-36A8-4141-890A-7A052AE5C932}"/>
    <cellStyle name="20% - Accent3 6" xfId="1039" xr:uid="{00000000-0005-0000-0000-0000D2010000}"/>
    <cellStyle name="20% - Accent3 6 2" xfId="3270" xr:uid="{00000000-0005-0000-0000-0000D3010000}"/>
    <cellStyle name="20% - Accent3 6 2 2" xfId="7492" xr:uid="{00000000-0005-0000-0000-0000D4010000}"/>
    <cellStyle name="20% - Accent3 6 2 2 2" xfId="15942" xr:uid="{D72E5099-CBC1-49C8-8E44-B08F82DDF5D1}"/>
    <cellStyle name="20% - Accent3 6 2 2 3" xfId="24389" xr:uid="{E41CA240-7F3C-44D4-8623-D79E2860C546}"/>
    <cellStyle name="20% - Accent3 6 2 3" xfId="11724" xr:uid="{00FDAAE8-F5D4-4DD3-9C81-8155CBD88F6D}"/>
    <cellStyle name="20% - Accent3 6 2 4" xfId="20172" xr:uid="{5756E073-3420-4D30-AF67-4DA54760E8BA}"/>
    <cellStyle name="20% - Accent3 6 3" xfId="5347" xr:uid="{00000000-0005-0000-0000-0000D5010000}"/>
    <cellStyle name="20% - Accent3 6 3 2" xfId="13797" xr:uid="{604FBFD1-0FF3-4965-8033-4E5F1D2CA618}"/>
    <cellStyle name="20% - Accent3 6 3 3" xfId="22244" xr:uid="{915BE8F1-E5FF-49FE-85B2-B4E13DDD3544}"/>
    <cellStyle name="20% - Accent3 6 4" xfId="9579" xr:uid="{002E9A16-C50C-4FCB-AB84-A96DA309A697}"/>
    <cellStyle name="20% - Accent3 6 5" xfId="18027" xr:uid="{848C3EE8-92F3-4E32-9BE9-CFF8D405CEF7}"/>
    <cellStyle name="20% - Accent3 7" xfId="1453" xr:uid="{00000000-0005-0000-0000-0000D6010000}"/>
    <cellStyle name="20% - Accent3 7 2" xfId="3683" xr:uid="{00000000-0005-0000-0000-0000D7010000}"/>
    <cellStyle name="20% - Accent3 7 2 2" xfId="7905" xr:uid="{00000000-0005-0000-0000-0000D8010000}"/>
    <cellStyle name="20% - Accent3 7 2 2 2" xfId="16355" xr:uid="{893DCD90-18FD-4AA9-B4FF-A0A804D5CADA}"/>
    <cellStyle name="20% - Accent3 7 2 2 3" xfId="24802" xr:uid="{E17BE3C7-80D8-47FA-97D1-C7BFF22D08AD}"/>
    <cellStyle name="20% - Accent3 7 2 3" xfId="12137" xr:uid="{9186CD4F-BBB4-4240-AE50-509C32B9CEEA}"/>
    <cellStyle name="20% - Accent3 7 2 4" xfId="20585" xr:uid="{BBD55E90-8608-4D77-B17B-3F35BEAA9864}"/>
    <cellStyle name="20% - Accent3 7 3" xfId="5760" xr:uid="{00000000-0005-0000-0000-0000D9010000}"/>
    <cellStyle name="20% - Accent3 7 3 2" xfId="14210" xr:uid="{D14840F6-4878-46E4-8786-BC42BE3767FB}"/>
    <cellStyle name="20% - Accent3 7 3 3" xfId="22657" xr:uid="{B7B63E5A-6A00-4D3C-BA4B-9D907C8A8B3C}"/>
    <cellStyle name="20% - Accent3 7 4" xfId="9992" xr:uid="{C8B7C026-01A5-43EB-B952-E0759204B912}"/>
    <cellStyle name="20% - Accent3 7 5" xfId="18440" xr:uid="{92915B31-8053-4DB6-8851-52922155F2A0}"/>
    <cellStyle name="20% - Accent3 8" xfId="1867" xr:uid="{00000000-0005-0000-0000-0000DA010000}"/>
    <cellStyle name="20% - Accent3 8 2" xfId="4096" xr:uid="{00000000-0005-0000-0000-0000DB010000}"/>
    <cellStyle name="20% - Accent3 8 2 2" xfId="8318" xr:uid="{00000000-0005-0000-0000-0000DC010000}"/>
    <cellStyle name="20% - Accent3 8 2 2 2" xfId="16768" xr:uid="{9698090D-BC7E-48CB-B4F1-08E588043A45}"/>
    <cellStyle name="20% - Accent3 8 2 2 3" xfId="25215" xr:uid="{C35EC772-1AE1-4238-9A55-6384242489BB}"/>
    <cellStyle name="20% - Accent3 8 2 3" xfId="12550" xr:uid="{35563C1C-05E3-4AF8-81E8-8AD178D641CB}"/>
    <cellStyle name="20% - Accent3 8 2 4" xfId="20998" xr:uid="{1FB3E2B3-AF21-40F3-9112-378FE44697A9}"/>
    <cellStyle name="20% - Accent3 8 3" xfId="6173" xr:uid="{00000000-0005-0000-0000-0000DD010000}"/>
    <cellStyle name="20% - Accent3 8 3 2" xfId="14623" xr:uid="{C78DBCBB-A062-4294-80DF-9CD6FB63FB83}"/>
    <cellStyle name="20% - Accent3 8 3 3" xfId="23070" xr:uid="{5E619316-502C-4C79-9FCD-B41A9F3608D5}"/>
    <cellStyle name="20% - Accent3 8 4" xfId="10405" xr:uid="{6504C645-A187-436B-B5F6-68F6F9E8A47E}"/>
    <cellStyle name="20% - Accent3 8 5" xfId="18853" xr:uid="{3C5D0355-449D-41D2-875A-9F9DEDB32D94}"/>
    <cellStyle name="20% - Accent3 9" xfId="2280" xr:uid="{00000000-0005-0000-0000-0000DE010000}"/>
    <cellStyle name="20% - Accent3 9 2" xfId="6586" xr:uid="{00000000-0005-0000-0000-0000DF010000}"/>
    <cellStyle name="20% - Accent3 9 2 2" xfId="15036" xr:uid="{FCDFCAB0-B2C3-46B1-8AB4-837C31BB7876}"/>
    <cellStyle name="20% - Accent3 9 2 3" xfId="23483" xr:uid="{4948459F-A1DD-4D66-96BD-F0A226170221}"/>
    <cellStyle name="20% - Accent3 9 3" xfId="10818" xr:uid="{96DBBC96-836E-46B8-A45F-3E8CEBC402D1}"/>
    <cellStyle name="20% - Accent3 9 4" xfId="19266" xr:uid="{1367E298-2449-42A1-BE3C-27C29457A720}"/>
    <cellStyle name="20% - Accent4" xfId="25" builtinId="42" customBuiltin="1"/>
    <cellStyle name="20% - Accent4 10" xfId="4528" xr:uid="{00000000-0005-0000-0000-0000E1010000}"/>
    <cellStyle name="20% - Accent4 10 2" xfId="12978" xr:uid="{4A3C8BEB-098F-41D7-96BC-A4BB22ABED8F}"/>
    <cellStyle name="20% - Accent4 10 3" xfId="21425" xr:uid="{3D3DEF44-E49E-4CD1-BA8D-8C586610BDB4}"/>
    <cellStyle name="20% - Accent4 11" xfId="8760" xr:uid="{7A2CDD6D-3CA3-4788-BC3E-D777CFA024D7}"/>
    <cellStyle name="20% - Accent4 12" xfId="17208" xr:uid="{691D327B-9D84-462A-B5AC-AF00283BF7DA}"/>
    <cellStyle name="20% - Accent4 2" xfId="26" xr:uid="{00000000-0005-0000-0000-0000E2010000}"/>
    <cellStyle name="20% - Accent4 2 10" xfId="8761" xr:uid="{85F7CCA0-838D-4A43-8560-D7EA6929D170}"/>
    <cellStyle name="20% - Accent4 2 11" xfId="17209" xr:uid="{F27ABBC6-9B85-409F-82C2-B0421F5BA918}"/>
    <cellStyle name="20% - Accent4 2 2" xfId="27" xr:uid="{00000000-0005-0000-0000-0000E3010000}"/>
    <cellStyle name="20% - Accent4 2 2 10" xfId="17210" xr:uid="{14F79F52-76A9-42B3-B303-3CE5F3AEBF3B}"/>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2 2 2" xfId="15540" xr:uid="{9E51474E-DC82-4120-A82B-BB494C96AEC1}"/>
    <cellStyle name="20% - Accent4 2 2 2 2 2 2 3" xfId="23987" xr:uid="{F83CDCE9-C8EB-448A-8382-74C13680505E}"/>
    <cellStyle name="20% - Accent4 2 2 2 2 2 3" xfId="11322" xr:uid="{E65EB673-24B0-4341-BE43-0ED8CCA3393A}"/>
    <cellStyle name="20% - Accent4 2 2 2 2 2 4" xfId="19770" xr:uid="{22DF667F-8960-4DC6-87A8-2904089B77FF}"/>
    <cellStyle name="20% - Accent4 2 2 2 2 3" xfId="4945" xr:uid="{00000000-0005-0000-0000-0000E8010000}"/>
    <cellStyle name="20% - Accent4 2 2 2 2 3 2" xfId="13395" xr:uid="{D768A473-8527-4086-8386-6DECA3FDC987}"/>
    <cellStyle name="20% - Accent4 2 2 2 2 3 3" xfId="21842" xr:uid="{7A52FFB2-430E-4063-B305-F157962FD63C}"/>
    <cellStyle name="20% - Accent4 2 2 2 2 4" xfId="9177" xr:uid="{89DAC220-ABAD-43C5-A598-CDAB8AB009D5}"/>
    <cellStyle name="20% - Accent4 2 2 2 2 5" xfId="17625" xr:uid="{A9FBA1C4-BE34-4988-9BB4-9214AA83DA9B}"/>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2 2 2" xfId="15953" xr:uid="{7CB5284A-CCAC-4CBB-B2DE-F8849337002D}"/>
    <cellStyle name="20% - Accent4 2 2 2 3 2 2 3" xfId="24400" xr:uid="{BE74825E-0318-48B5-B0F9-24FDBEF0AFF7}"/>
    <cellStyle name="20% - Accent4 2 2 2 3 2 3" xfId="11735" xr:uid="{4912BBFF-5BDB-4CEE-956A-35EAE1581CE7}"/>
    <cellStyle name="20% - Accent4 2 2 2 3 2 4" xfId="20183" xr:uid="{67244C71-3B54-4FAF-8BAC-6980CCA45E70}"/>
    <cellStyle name="20% - Accent4 2 2 2 3 3" xfId="5358" xr:uid="{00000000-0005-0000-0000-0000EC010000}"/>
    <cellStyle name="20% - Accent4 2 2 2 3 3 2" xfId="13808" xr:uid="{ABE4EA1F-1B76-4AC1-A57D-B5449F530FA9}"/>
    <cellStyle name="20% - Accent4 2 2 2 3 3 3" xfId="22255" xr:uid="{1F6600DA-1E53-4D06-A8C6-3DEDD0D842FC}"/>
    <cellStyle name="20% - Accent4 2 2 2 3 4" xfId="9590" xr:uid="{657E709B-D3CD-45EC-A783-6CC255E4524D}"/>
    <cellStyle name="20% - Accent4 2 2 2 3 5" xfId="18038" xr:uid="{28516130-1C0C-4B7F-8954-5328FD83C42E}"/>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2 2 2" xfId="16366" xr:uid="{BF39E3B3-64A1-425D-B1DC-A99A7DB57CC6}"/>
    <cellStyle name="20% - Accent4 2 2 2 4 2 2 3" xfId="24813" xr:uid="{EEC9BE43-AA9F-4F7D-BF37-365021DB9C71}"/>
    <cellStyle name="20% - Accent4 2 2 2 4 2 3" xfId="12148" xr:uid="{A748DBE3-36F7-46E1-9520-916F6550DCC6}"/>
    <cellStyle name="20% - Accent4 2 2 2 4 2 4" xfId="20596" xr:uid="{9699569F-4785-43E5-AB03-B03387884D3E}"/>
    <cellStyle name="20% - Accent4 2 2 2 4 3" xfId="5771" xr:uid="{00000000-0005-0000-0000-0000F0010000}"/>
    <cellStyle name="20% - Accent4 2 2 2 4 3 2" xfId="14221" xr:uid="{DABF1ADC-0A74-48CC-A9E0-6FCFBCA9C3A9}"/>
    <cellStyle name="20% - Accent4 2 2 2 4 3 3" xfId="22668" xr:uid="{A980C378-E53E-4267-9C72-3F0B01B8ABE2}"/>
    <cellStyle name="20% - Accent4 2 2 2 4 4" xfId="10003" xr:uid="{FE596EFC-DC05-42DB-B5B3-6D65FD7B38DB}"/>
    <cellStyle name="20% - Accent4 2 2 2 4 5" xfId="18451" xr:uid="{F4C03DB1-05B0-469A-B9B1-B1D66F16E30C}"/>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2 2 2" xfId="16779" xr:uid="{10223FA9-2C43-49DA-867D-5FCA02173DF0}"/>
    <cellStyle name="20% - Accent4 2 2 2 5 2 2 3" xfId="25226" xr:uid="{1685FEC3-E1DB-4CFC-81B1-1819824D1765}"/>
    <cellStyle name="20% - Accent4 2 2 2 5 2 3" xfId="12561" xr:uid="{21B4B6D7-BD73-4535-8250-067367C12412}"/>
    <cellStyle name="20% - Accent4 2 2 2 5 2 4" xfId="21009" xr:uid="{59A9E602-2914-4D18-BD70-FDE8EF41091D}"/>
    <cellStyle name="20% - Accent4 2 2 2 5 3" xfId="6184" xr:uid="{00000000-0005-0000-0000-0000F4010000}"/>
    <cellStyle name="20% - Accent4 2 2 2 5 3 2" xfId="14634" xr:uid="{0464BDCF-0CE9-4067-9E4E-11DFB15D015F}"/>
    <cellStyle name="20% - Accent4 2 2 2 5 3 3" xfId="23081" xr:uid="{5C0A7B29-5B09-4ABF-89A3-8159A19007F3}"/>
    <cellStyle name="20% - Accent4 2 2 2 5 4" xfId="10416" xr:uid="{9B6AC3C7-9041-40FB-AF46-C5CF9ADAE71F}"/>
    <cellStyle name="20% - Accent4 2 2 2 5 5" xfId="18864" xr:uid="{687F2B4C-7B79-4712-94D7-CBE58F47CE92}"/>
    <cellStyle name="20% - Accent4 2 2 2 6" xfId="2291" xr:uid="{00000000-0005-0000-0000-0000F5010000}"/>
    <cellStyle name="20% - Accent4 2 2 2 6 2" xfId="6597" xr:uid="{00000000-0005-0000-0000-0000F6010000}"/>
    <cellStyle name="20% - Accent4 2 2 2 6 2 2" xfId="15047" xr:uid="{1E51D9D0-0090-4343-8C75-7B0C7FB44508}"/>
    <cellStyle name="20% - Accent4 2 2 2 6 2 3" xfId="23494" xr:uid="{020FC088-B69B-4488-8C98-6B2752F7F537}"/>
    <cellStyle name="20% - Accent4 2 2 2 6 3" xfId="10829" xr:uid="{B8440E14-3356-44B1-BA09-14E45A35B03A}"/>
    <cellStyle name="20% - Accent4 2 2 2 6 4" xfId="19277" xr:uid="{9CB4B3CD-6088-41EB-B5C7-22F39B7558A7}"/>
    <cellStyle name="20% - Accent4 2 2 2 7" xfId="4531" xr:uid="{00000000-0005-0000-0000-0000F7010000}"/>
    <cellStyle name="20% - Accent4 2 2 2 7 2" xfId="12981" xr:uid="{0F7E3AD0-98E0-4459-9C18-14C1EA723CE8}"/>
    <cellStyle name="20% - Accent4 2 2 2 7 3" xfId="21428" xr:uid="{7405EA24-3FEE-482A-91BD-FB3F29D9E150}"/>
    <cellStyle name="20% - Accent4 2 2 2 8" xfId="8763" xr:uid="{B40491BB-87E4-46F7-B443-E0E7E0DEAFA5}"/>
    <cellStyle name="20% - Accent4 2 2 2 9" xfId="17211" xr:uid="{33BAA92B-AE2F-4DE4-B01D-995390FB49F6}"/>
    <cellStyle name="20% - Accent4 2 2 3" xfId="596" xr:uid="{00000000-0005-0000-0000-0000F8010000}"/>
    <cellStyle name="20% - Accent4 2 2 3 2" xfId="2867" xr:uid="{00000000-0005-0000-0000-0000F9010000}"/>
    <cellStyle name="20% - Accent4 2 2 3 2 2" xfId="7089" xr:uid="{00000000-0005-0000-0000-0000FA010000}"/>
    <cellStyle name="20% - Accent4 2 2 3 2 2 2" xfId="15539" xr:uid="{0918867A-4E76-4D29-8D71-C4DBA98C9AE3}"/>
    <cellStyle name="20% - Accent4 2 2 3 2 2 3" xfId="23986" xr:uid="{2842F1D5-5292-40D5-84AA-E7116368CFCB}"/>
    <cellStyle name="20% - Accent4 2 2 3 2 3" xfId="11321" xr:uid="{6029A463-7D5A-484D-9950-5B0C1D48EAFD}"/>
    <cellStyle name="20% - Accent4 2 2 3 2 4" xfId="19769" xr:uid="{D120FF0A-0E00-469C-A2B9-8B52C9BCA066}"/>
    <cellStyle name="20% - Accent4 2 2 3 3" xfId="4944" xr:uid="{00000000-0005-0000-0000-0000FB010000}"/>
    <cellStyle name="20% - Accent4 2 2 3 3 2" xfId="13394" xr:uid="{46DC608A-39B8-4B4F-A120-5D3FB42FFA4C}"/>
    <cellStyle name="20% - Accent4 2 2 3 3 3" xfId="21841" xr:uid="{9EAABC85-B255-4B3D-86B9-16BA524D53E5}"/>
    <cellStyle name="20% - Accent4 2 2 3 4" xfId="9176" xr:uid="{BD12A11B-71EF-4F41-8450-58488FF8171D}"/>
    <cellStyle name="20% - Accent4 2 2 3 5" xfId="17624" xr:uid="{34D51B3C-B09B-426C-8E9F-BF20E715A07E}"/>
    <cellStyle name="20% - Accent4 2 2 4" xfId="1049" xr:uid="{00000000-0005-0000-0000-0000FC010000}"/>
    <cellStyle name="20% - Accent4 2 2 4 2" xfId="3280" xr:uid="{00000000-0005-0000-0000-0000FD010000}"/>
    <cellStyle name="20% - Accent4 2 2 4 2 2" xfId="7502" xr:uid="{00000000-0005-0000-0000-0000FE010000}"/>
    <cellStyle name="20% - Accent4 2 2 4 2 2 2" xfId="15952" xr:uid="{E240D5E9-A50D-40F2-BE6C-318258B110B7}"/>
    <cellStyle name="20% - Accent4 2 2 4 2 2 3" xfId="24399" xr:uid="{5CC50EC0-D494-4BDC-BCE6-BDAA3CDADCB9}"/>
    <cellStyle name="20% - Accent4 2 2 4 2 3" xfId="11734" xr:uid="{C7E74812-175C-4929-A01C-6FF6C4256E0A}"/>
    <cellStyle name="20% - Accent4 2 2 4 2 4" xfId="20182" xr:uid="{AAAD2FC1-762C-426C-A970-8979F039B1B1}"/>
    <cellStyle name="20% - Accent4 2 2 4 3" xfId="5357" xr:uid="{00000000-0005-0000-0000-0000FF010000}"/>
    <cellStyle name="20% - Accent4 2 2 4 3 2" xfId="13807" xr:uid="{2CBDB0FD-64CB-454F-AF04-1CA539CF70F6}"/>
    <cellStyle name="20% - Accent4 2 2 4 3 3" xfId="22254" xr:uid="{1F885306-7D30-4BDB-951F-D91ECC8D9066}"/>
    <cellStyle name="20% - Accent4 2 2 4 4" xfId="9589" xr:uid="{C86760AE-982C-46D1-8E33-313BC10512E6}"/>
    <cellStyle name="20% - Accent4 2 2 4 5" xfId="18037" xr:uid="{60F91D4E-CB33-464A-8FD0-F9C7F181B465}"/>
    <cellStyle name="20% - Accent4 2 2 5" xfId="1463" xr:uid="{00000000-0005-0000-0000-000000020000}"/>
    <cellStyle name="20% - Accent4 2 2 5 2" xfId="3693" xr:uid="{00000000-0005-0000-0000-000001020000}"/>
    <cellStyle name="20% - Accent4 2 2 5 2 2" xfId="7915" xr:uid="{00000000-0005-0000-0000-000002020000}"/>
    <cellStyle name="20% - Accent4 2 2 5 2 2 2" xfId="16365" xr:uid="{3568069D-B990-41A5-A991-2AAB36E3260B}"/>
    <cellStyle name="20% - Accent4 2 2 5 2 2 3" xfId="24812" xr:uid="{7A0685C5-D908-4E20-A444-1E7D28BF41AC}"/>
    <cellStyle name="20% - Accent4 2 2 5 2 3" xfId="12147" xr:uid="{B81A2C53-A8A3-4D7F-8818-523B57B92535}"/>
    <cellStyle name="20% - Accent4 2 2 5 2 4" xfId="20595" xr:uid="{C4888B32-31CD-40CA-9E5B-7336ED554FB8}"/>
    <cellStyle name="20% - Accent4 2 2 5 3" xfId="5770" xr:uid="{00000000-0005-0000-0000-000003020000}"/>
    <cellStyle name="20% - Accent4 2 2 5 3 2" xfId="14220" xr:uid="{458DA471-3DD7-44C8-BE6D-1C376307C96D}"/>
    <cellStyle name="20% - Accent4 2 2 5 3 3" xfId="22667" xr:uid="{D9DB9361-9B6C-4545-8D84-E54872CF408C}"/>
    <cellStyle name="20% - Accent4 2 2 5 4" xfId="10002" xr:uid="{1BC8B7B6-EAB6-4ADB-B77B-DE78E63B264D}"/>
    <cellStyle name="20% - Accent4 2 2 5 5" xfId="18450" xr:uid="{FEB44793-40E4-4EC8-AD84-7D9182ABBE0B}"/>
    <cellStyle name="20% - Accent4 2 2 6" xfId="1877" xr:uid="{00000000-0005-0000-0000-000004020000}"/>
    <cellStyle name="20% - Accent4 2 2 6 2" xfId="4106" xr:uid="{00000000-0005-0000-0000-000005020000}"/>
    <cellStyle name="20% - Accent4 2 2 6 2 2" xfId="8328" xr:uid="{00000000-0005-0000-0000-000006020000}"/>
    <cellStyle name="20% - Accent4 2 2 6 2 2 2" xfId="16778" xr:uid="{1CAC18A8-DBB2-4650-BFF3-5BEBE5BF39F2}"/>
    <cellStyle name="20% - Accent4 2 2 6 2 2 3" xfId="25225" xr:uid="{A859B3C3-02F5-4A77-9974-AF9A265A47F0}"/>
    <cellStyle name="20% - Accent4 2 2 6 2 3" xfId="12560" xr:uid="{CEF9FF99-7CDF-4F87-B001-F52AD8CC48BF}"/>
    <cellStyle name="20% - Accent4 2 2 6 2 4" xfId="21008" xr:uid="{4D93F19B-3F6E-47D8-967D-D32826A51E2C}"/>
    <cellStyle name="20% - Accent4 2 2 6 3" xfId="6183" xr:uid="{00000000-0005-0000-0000-000007020000}"/>
    <cellStyle name="20% - Accent4 2 2 6 3 2" xfId="14633" xr:uid="{04932C0F-4250-42D6-85AF-B1ED831E2BA0}"/>
    <cellStyle name="20% - Accent4 2 2 6 3 3" xfId="23080" xr:uid="{2DDB7C04-68FE-40E4-B80A-C3A9E1EFB3FE}"/>
    <cellStyle name="20% - Accent4 2 2 6 4" xfId="10415" xr:uid="{F691666B-D26F-4B22-8EC2-43800E4C8819}"/>
    <cellStyle name="20% - Accent4 2 2 6 5" xfId="18863" xr:uid="{8AD3284A-89E4-493F-8FF3-F9744BAB39CD}"/>
    <cellStyle name="20% - Accent4 2 2 7" xfId="2290" xr:uid="{00000000-0005-0000-0000-000008020000}"/>
    <cellStyle name="20% - Accent4 2 2 7 2" xfId="6596" xr:uid="{00000000-0005-0000-0000-000009020000}"/>
    <cellStyle name="20% - Accent4 2 2 7 2 2" xfId="15046" xr:uid="{F769ABC3-387E-4F5E-BC1F-F10265F3DAAD}"/>
    <cellStyle name="20% - Accent4 2 2 7 2 3" xfId="23493" xr:uid="{75AE76DA-FDA8-47E5-9DCE-02432F7F643D}"/>
    <cellStyle name="20% - Accent4 2 2 7 3" xfId="10828" xr:uid="{9D3E61E9-7174-4AA9-ABB0-6E23EE537516}"/>
    <cellStyle name="20% - Accent4 2 2 7 4" xfId="19276" xr:uid="{F094DD1C-3A13-4EC3-96E3-94051BB948D6}"/>
    <cellStyle name="20% - Accent4 2 2 8" xfId="4530" xr:uid="{00000000-0005-0000-0000-00000A020000}"/>
    <cellStyle name="20% - Accent4 2 2 8 2" xfId="12980" xr:uid="{A1AC1E72-1941-46C0-84DF-1EAECE599CD2}"/>
    <cellStyle name="20% - Accent4 2 2 8 3" xfId="21427" xr:uid="{D37CDBC7-D484-498F-8D7C-604ECAF432BF}"/>
    <cellStyle name="20% - Accent4 2 2 9" xfId="8762" xr:uid="{95F402D6-3ADC-4CE5-9CC6-F88AA1B9A84C}"/>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2 2 2" xfId="15541" xr:uid="{8BE94492-422B-4115-89C1-20D5FD932BE2}"/>
    <cellStyle name="20% - Accent4 2 3 2 2 2 3" xfId="23988" xr:uid="{C37774D7-DFA5-43E4-AE73-59A39E606904}"/>
    <cellStyle name="20% - Accent4 2 3 2 2 3" xfId="11323" xr:uid="{9E11E9B4-EDBD-4EA7-8585-D7C3BD95C384}"/>
    <cellStyle name="20% - Accent4 2 3 2 2 4" xfId="19771" xr:uid="{BED7E269-04BC-473E-8509-66D48C786A91}"/>
    <cellStyle name="20% - Accent4 2 3 2 3" xfId="4946" xr:uid="{00000000-0005-0000-0000-00000F020000}"/>
    <cellStyle name="20% - Accent4 2 3 2 3 2" xfId="13396" xr:uid="{FF76822F-49F5-49B4-AF57-4B986B18C62F}"/>
    <cellStyle name="20% - Accent4 2 3 2 3 3" xfId="21843" xr:uid="{0A774683-893D-44F5-BCB4-F8E7A388AB69}"/>
    <cellStyle name="20% - Accent4 2 3 2 4" xfId="9178" xr:uid="{956C6B1E-0094-4D3C-8928-E585E925DFCA}"/>
    <cellStyle name="20% - Accent4 2 3 2 5" xfId="17626" xr:uid="{9CDC84FB-303D-4C88-97E0-5C27FDE68B4E}"/>
    <cellStyle name="20% - Accent4 2 3 3" xfId="1051" xr:uid="{00000000-0005-0000-0000-000010020000}"/>
    <cellStyle name="20% - Accent4 2 3 3 2" xfId="3282" xr:uid="{00000000-0005-0000-0000-000011020000}"/>
    <cellStyle name="20% - Accent4 2 3 3 2 2" xfId="7504" xr:uid="{00000000-0005-0000-0000-000012020000}"/>
    <cellStyle name="20% - Accent4 2 3 3 2 2 2" xfId="15954" xr:uid="{397A830F-B0F8-46B2-84A4-8F4AD905F708}"/>
    <cellStyle name="20% - Accent4 2 3 3 2 2 3" xfId="24401" xr:uid="{A99B0A98-C5EE-4453-AD2D-112A370BB7CB}"/>
    <cellStyle name="20% - Accent4 2 3 3 2 3" xfId="11736" xr:uid="{C09FA6AC-7150-4DA6-ABE7-9661B4248EF3}"/>
    <cellStyle name="20% - Accent4 2 3 3 2 4" xfId="20184" xr:uid="{F0526C0D-DD0A-4FF6-87F3-267ECF02C91B}"/>
    <cellStyle name="20% - Accent4 2 3 3 3" xfId="5359" xr:uid="{00000000-0005-0000-0000-000013020000}"/>
    <cellStyle name="20% - Accent4 2 3 3 3 2" xfId="13809" xr:uid="{4B653333-314C-415B-A0C6-E2183B10C18C}"/>
    <cellStyle name="20% - Accent4 2 3 3 3 3" xfId="22256" xr:uid="{39D06387-FE8B-41EC-904B-40E9F4E24D3F}"/>
    <cellStyle name="20% - Accent4 2 3 3 4" xfId="9591" xr:uid="{67AD3067-041F-46F2-B508-319F7F466F09}"/>
    <cellStyle name="20% - Accent4 2 3 3 5" xfId="18039" xr:uid="{886470B6-2D1C-4EE4-A197-6AC5A22BCBFA}"/>
    <cellStyle name="20% - Accent4 2 3 4" xfId="1465" xr:uid="{00000000-0005-0000-0000-000014020000}"/>
    <cellStyle name="20% - Accent4 2 3 4 2" xfId="3695" xr:uid="{00000000-0005-0000-0000-000015020000}"/>
    <cellStyle name="20% - Accent4 2 3 4 2 2" xfId="7917" xr:uid="{00000000-0005-0000-0000-000016020000}"/>
    <cellStyle name="20% - Accent4 2 3 4 2 2 2" xfId="16367" xr:uid="{8D1F85AC-3F25-4EDD-BC5E-CBBA585C5811}"/>
    <cellStyle name="20% - Accent4 2 3 4 2 2 3" xfId="24814" xr:uid="{4A7B78E8-F0D7-4B15-8ACB-A29968C97A0B}"/>
    <cellStyle name="20% - Accent4 2 3 4 2 3" xfId="12149" xr:uid="{B0249259-545E-4805-A4DB-A87EFAFF6D73}"/>
    <cellStyle name="20% - Accent4 2 3 4 2 4" xfId="20597" xr:uid="{24229992-D5E3-47C1-A89A-3C4770BC02E0}"/>
    <cellStyle name="20% - Accent4 2 3 4 3" xfId="5772" xr:uid="{00000000-0005-0000-0000-000017020000}"/>
    <cellStyle name="20% - Accent4 2 3 4 3 2" xfId="14222" xr:uid="{4C6D9C87-1104-419E-BDAA-03C24EF36AC4}"/>
    <cellStyle name="20% - Accent4 2 3 4 3 3" xfId="22669" xr:uid="{BB56AE10-FE5A-4FE6-BE70-028F6D22F6E4}"/>
    <cellStyle name="20% - Accent4 2 3 4 4" xfId="10004" xr:uid="{7FA9233A-D8FA-4324-BB24-3694BEB83EB7}"/>
    <cellStyle name="20% - Accent4 2 3 4 5" xfId="18452" xr:uid="{8935517F-7D30-4C17-A124-D56277257831}"/>
    <cellStyle name="20% - Accent4 2 3 5" xfId="1879" xr:uid="{00000000-0005-0000-0000-000018020000}"/>
    <cellStyle name="20% - Accent4 2 3 5 2" xfId="4108" xr:uid="{00000000-0005-0000-0000-000019020000}"/>
    <cellStyle name="20% - Accent4 2 3 5 2 2" xfId="8330" xr:uid="{00000000-0005-0000-0000-00001A020000}"/>
    <cellStyle name="20% - Accent4 2 3 5 2 2 2" xfId="16780" xr:uid="{91FDF0C3-1BBE-4B89-A9EE-E283B7987462}"/>
    <cellStyle name="20% - Accent4 2 3 5 2 2 3" xfId="25227" xr:uid="{FE29229C-D966-48D3-B24B-DFD787AC93D9}"/>
    <cellStyle name="20% - Accent4 2 3 5 2 3" xfId="12562" xr:uid="{1599D5B6-6DEF-4F33-89CD-C125435DDAF7}"/>
    <cellStyle name="20% - Accent4 2 3 5 2 4" xfId="21010" xr:uid="{FFF229A5-EAF5-4A83-A636-41C9E00C0065}"/>
    <cellStyle name="20% - Accent4 2 3 5 3" xfId="6185" xr:uid="{00000000-0005-0000-0000-00001B020000}"/>
    <cellStyle name="20% - Accent4 2 3 5 3 2" xfId="14635" xr:uid="{C119982F-1EF5-4B38-B33A-D1E7A8B9834B}"/>
    <cellStyle name="20% - Accent4 2 3 5 3 3" xfId="23082" xr:uid="{EFA0FC90-2F3F-4195-91DC-3B35630C3A43}"/>
    <cellStyle name="20% - Accent4 2 3 5 4" xfId="10417" xr:uid="{C3781C8F-5EA5-4032-B477-BC362E9E1CE1}"/>
    <cellStyle name="20% - Accent4 2 3 5 5" xfId="18865" xr:uid="{A559A676-9694-4D04-9FD0-85F77954933F}"/>
    <cellStyle name="20% - Accent4 2 3 6" xfId="2292" xr:uid="{00000000-0005-0000-0000-00001C020000}"/>
    <cellStyle name="20% - Accent4 2 3 6 2" xfId="6598" xr:uid="{00000000-0005-0000-0000-00001D020000}"/>
    <cellStyle name="20% - Accent4 2 3 6 2 2" xfId="15048" xr:uid="{7F2842BC-D342-49F7-9C85-A0846FC801A3}"/>
    <cellStyle name="20% - Accent4 2 3 6 2 3" xfId="23495" xr:uid="{F6B1D94E-1A42-42A0-9333-579B9A1C5CF4}"/>
    <cellStyle name="20% - Accent4 2 3 6 3" xfId="10830" xr:uid="{6B807011-0352-404B-A6E8-01E633A96A4B}"/>
    <cellStyle name="20% - Accent4 2 3 6 4" xfId="19278" xr:uid="{BBA36432-E01B-4634-AF4E-C908110FC564}"/>
    <cellStyle name="20% - Accent4 2 3 7" xfId="4532" xr:uid="{00000000-0005-0000-0000-00001E020000}"/>
    <cellStyle name="20% - Accent4 2 3 7 2" xfId="12982" xr:uid="{6AA4610F-7C70-4B02-86FC-6BAE776E0112}"/>
    <cellStyle name="20% - Accent4 2 3 7 3" xfId="21429" xr:uid="{20CA8C7F-40BD-4AEF-A588-B9B21CBADDFD}"/>
    <cellStyle name="20% - Accent4 2 3 8" xfId="8764" xr:uid="{54418494-72A7-426D-8FFB-1AE2A25CAC49}"/>
    <cellStyle name="20% - Accent4 2 3 9" xfId="17212" xr:uid="{208D3B4C-2C87-4441-BD80-5731823647FD}"/>
    <cellStyle name="20% - Accent4 2 4" xfId="595" xr:uid="{00000000-0005-0000-0000-00001F020000}"/>
    <cellStyle name="20% - Accent4 2 4 2" xfId="2866" xr:uid="{00000000-0005-0000-0000-000020020000}"/>
    <cellStyle name="20% - Accent4 2 4 2 2" xfId="7088" xr:uid="{00000000-0005-0000-0000-000021020000}"/>
    <cellStyle name="20% - Accent4 2 4 2 2 2" xfId="15538" xr:uid="{44EC185F-9F01-4CB3-A204-E000508F9371}"/>
    <cellStyle name="20% - Accent4 2 4 2 2 3" xfId="23985" xr:uid="{F338BFAD-0D2C-454D-837D-D981553FEE54}"/>
    <cellStyle name="20% - Accent4 2 4 2 3" xfId="11320" xr:uid="{2EB6A177-E9FF-4653-8F94-AC48EFE857AA}"/>
    <cellStyle name="20% - Accent4 2 4 2 4" xfId="19768" xr:uid="{C336254B-E424-4C22-9607-06788C73D13E}"/>
    <cellStyle name="20% - Accent4 2 4 3" xfId="4943" xr:uid="{00000000-0005-0000-0000-000022020000}"/>
    <cellStyle name="20% - Accent4 2 4 3 2" xfId="13393" xr:uid="{92F38020-8934-43EF-9D4A-1EC235BE1D88}"/>
    <cellStyle name="20% - Accent4 2 4 3 3" xfId="21840" xr:uid="{AC9A3A16-590E-4D3E-BE85-50005307BDC9}"/>
    <cellStyle name="20% - Accent4 2 4 4" xfId="9175" xr:uid="{6C1FCA10-0F41-426A-86E0-A97002F45065}"/>
    <cellStyle name="20% - Accent4 2 4 5" xfId="17623" xr:uid="{62E71E0A-C105-47B0-BC30-67FD5C319AC0}"/>
    <cellStyle name="20% - Accent4 2 5" xfId="1048" xr:uid="{00000000-0005-0000-0000-000023020000}"/>
    <cellStyle name="20% - Accent4 2 5 2" xfId="3279" xr:uid="{00000000-0005-0000-0000-000024020000}"/>
    <cellStyle name="20% - Accent4 2 5 2 2" xfId="7501" xr:uid="{00000000-0005-0000-0000-000025020000}"/>
    <cellStyle name="20% - Accent4 2 5 2 2 2" xfId="15951" xr:uid="{B8A6144C-219D-4E0B-9D09-DCBCBDD8B15B}"/>
    <cellStyle name="20% - Accent4 2 5 2 2 3" xfId="24398" xr:uid="{B5F1D379-597C-4C68-AB29-4A196B224B41}"/>
    <cellStyle name="20% - Accent4 2 5 2 3" xfId="11733" xr:uid="{F62490CD-B86D-433B-A901-7E9F82A5CA43}"/>
    <cellStyle name="20% - Accent4 2 5 2 4" xfId="20181" xr:uid="{8277EBA8-7438-4D62-ABB1-FB97A5DB5A47}"/>
    <cellStyle name="20% - Accent4 2 5 3" xfId="5356" xr:uid="{00000000-0005-0000-0000-000026020000}"/>
    <cellStyle name="20% - Accent4 2 5 3 2" xfId="13806" xr:uid="{B6222D9B-8CF2-41D2-8172-04DC7693DBE5}"/>
    <cellStyle name="20% - Accent4 2 5 3 3" xfId="22253" xr:uid="{B9F534BD-9347-4252-B901-412C9587E824}"/>
    <cellStyle name="20% - Accent4 2 5 4" xfId="9588" xr:uid="{BE8610F4-0F50-4BE2-9EF1-84BE1E2D87AE}"/>
    <cellStyle name="20% - Accent4 2 5 5" xfId="18036" xr:uid="{979F74C1-0698-4F0F-843A-B81C89B6D4FD}"/>
    <cellStyle name="20% - Accent4 2 6" xfId="1462" xr:uid="{00000000-0005-0000-0000-000027020000}"/>
    <cellStyle name="20% - Accent4 2 6 2" xfId="3692" xr:uid="{00000000-0005-0000-0000-000028020000}"/>
    <cellStyle name="20% - Accent4 2 6 2 2" xfId="7914" xr:uid="{00000000-0005-0000-0000-000029020000}"/>
    <cellStyle name="20% - Accent4 2 6 2 2 2" xfId="16364" xr:uid="{B4A7FFEC-9DD8-4ED1-A23B-E3C3368FBFA1}"/>
    <cellStyle name="20% - Accent4 2 6 2 2 3" xfId="24811" xr:uid="{7548237F-5CA5-427E-AE20-8681B172A67B}"/>
    <cellStyle name="20% - Accent4 2 6 2 3" xfId="12146" xr:uid="{1CCCE2E1-8FB5-48F9-9638-008836B704DE}"/>
    <cellStyle name="20% - Accent4 2 6 2 4" xfId="20594" xr:uid="{BA9246D2-53F5-4053-9DC9-A668F08F8E85}"/>
    <cellStyle name="20% - Accent4 2 6 3" xfId="5769" xr:uid="{00000000-0005-0000-0000-00002A020000}"/>
    <cellStyle name="20% - Accent4 2 6 3 2" xfId="14219" xr:uid="{429CEC29-B938-49EB-9A2B-E0C146392DCD}"/>
    <cellStyle name="20% - Accent4 2 6 3 3" xfId="22666" xr:uid="{16F460B9-1F7B-4FE9-8335-EDAD8D373DC7}"/>
    <cellStyle name="20% - Accent4 2 6 4" xfId="10001" xr:uid="{39AF4B80-8593-44BA-A1E6-D987298B0795}"/>
    <cellStyle name="20% - Accent4 2 6 5" xfId="18449" xr:uid="{74EA1C53-1906-4557-A6CC-D60F13671BA9}"/>
    <cellStyle name="20% - Accent4 2 7" xfId="1876" xr:uid="{00000000-0005-0000-0000-00002B020000}"/>
    <cellStyle name="20% - Accent4 2 7 2" xfId="4105" xr:uid="{00000000-0005-0000-0000-00002C020000}"/>
    <cellStyle name="20% - Accent4 2 7 2 2" xfId="8327" xr:uid="{00000000-0005-0000-0000-00002D020000}"/>
    <cellStyle name="20% - Accent4 2 7 2 2 2" xfId="16777" xr:uid="{7CDEA44C-DC5C-4EA7-B0F7-786919634894}"/>
    <cellStyle name="20% - Accent4 2 7 2 2 3" xfId="25224" xr:uid="{E6CA8C32-BC51-42F7-AB8C-1B7EB6E02055}"/>
    <cellStyle name="20% - Accent4 2 7 2 3" xfId="12559" xr:uid="{1AD94EFC-6294-4FF5-A358-006601D791FC}"/>
    <cellStyle name="20% - Accent4 2 7 2 4" xfId="21007" xr:uid="{4986F2F9-778A-4353-BCF9-E2B825AD5C47}"/>
    <cellStyle name="20% - Accent4 2 7 3" xfId="6182" xr:uid="{00000000-0005-0000-0000-00002E020000}"/>
    <cellStyle name="20% - Accent4 2 7 3 2" xfId="14632" xr:uid="{CFDC4745-C3E7-4ECF-B027-5A034FEA2CFD}"/>
    <cellStyle name="20% - Accent4 2 7 3 3" xfId="23079" xr:uid="{895014A2-51A1-4428-9585-678CF2B97A22}"/>
    <cellStyle name="20% - Accent4 2 7 4" xfId="10414" xr:uid="{C322BFD7-D57D-458C-8951-25854ABCAE1F}"/>
    <cellStyle name="20% - Accent4 2 7 5" xfId="18862" xr:uid="{A4769098-2F20-4EBD-96BA-28B3113A41AD}"/>
    <cellStyle name="20% - Accent4 2 8" xfId="2289" xr:uid="{00000000-0005-0000-0000-00002F020000}"/>
    <cellStyle name="20% - Accent4 2 8 2" xfId="6595" xr:uid="{00000000-0005-0000-0000-000030020000}"/>
    <cellStyle name="20% - Accent4 2 8 2 2" xfId="15045" xr:uid="{E3397698-89F8-4E4B-B39C-B242541C26E2}"/>
    <cellStyle name="20% - Accent4 2 8 2 3" xfId="23492" xr:uid="{9BB90C6F-6758-4B95-BFE0-0FF127BBEEA0}"/>
    <cellStyle name="20% - Accent4 2 8 3" xfId="10827" xr:uid="{568349D8-E61A-4112-84DF-61DCB2A88495}"/>
    <cellStyle name="20% - Accent4 2 8 4" xfId="19275" xr:uid="{0218AB20-2CFC-4C9E-824D-F2868395C5C3}"/>
    <cellStyle name="20% - Accent4 2 9" xfId="4529" xr:uid="{00000000-0005-0000-0000-000031020000}"/>
    <cellStyle name="20% - Accent4 2 9 2" xfId="12979" xr:uid="{C330CEE8-1FF8-41DE-9FF0-6CA6E4A10973}"/>
    <cellStyle name="20% - Accent4 2 9 3" xfId="21426" xr:uid="{41E517B3-BA71-425C-B2B4-E95459112C8F}"/>
    <cellStyle name="20% - Accent4 3" xfId="30" xr:uid="{00000000-0005-0000-0000-000032020000}"/>
    <cellStyle name="20% - Accent4 3 10" xfId="17213" xr:uid="{6061D0D8-41D4-40F5-8837-DB5C3C3440A1}"/>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2 2 2" xfId="15543" xr:uid="{EA389536-C6F6-4D47-B5E6-EC4F82360B13}"/>
    <cellStyle name="20% - Accent4 3 2 2 2 2 3" xfId="23990" xr:uid="{0086EFA9-665E-4AED-9F0B-4CF9E1451043}"/>
    <cellStyle name="20% - Accent4 3 2 2 2 3" xfId="11325" xr:uid="{739ADE40-9939-499F-BE6A-3A4A2A120372}"/>
    <cellStyle name="20% - Accent4 3 2 2 2 4" xfId="19773" xr:uid="{4BBED266-F708-4CAA-9578-B71FC73F9AAD}"/>
    <cellStyle name="20% - Accent4 3 2 2 3" xfId="4948" xr:uid="{00000000-0005-0000-0000-000037020000}"/>
    <cellStyle name="20% - Accent4 3 2 2 3 2" xfId="13398" xr:uid="{82A4C626-2489-4977-9900-1B7588BB94D3}"/>
    <cellStyle name="20% - Accent4 3 2 2 3 3" xfId="21845" xr:uid="{B35F3ED8-1B3F-4CBF-B307-B16645E9A06D}"/>
    <cellStyle name="20% - Accent4 3 2 2 4" xfId="9180" xr:uid="{09447CB0-1116-4018-90AD-3D31BEECC699}"/>
    <cellStyle name="20% - Accent4 3 2 2 5" xfId="17628" xr:uid="{9175E19A-33BC-48D8-88CD-6FCDEB450C41}"/>
    <cellStyle name="20% - Accent4 3 2 3" xfId="1053" xr:uid="{00000000-0005-0000-0000-000038020000}"/>
    <cellStyle name="20% - Accent4 3 2 3 2" xfId="3284" xr:uid="{00000000-0005-0000-0000-000039020000}"/>
    <cellStyle name="20% - Accent4 3 2 3 2 2" xfId="7506" xr:uid="{00000000-0005-0000-0000-00003A020000}"/>
    <cellStyle name="20% - Accent4 3 2 3 2 2 2" xfId="15956" xr:uid="{8B4C94D8-791A-4121-89D8-B4D232407E82}"/>
    <cellStyle name="20% - Accent4 3 2 3 2 2 3" xfId="24403" xr:uid="{5FCAACFA-BA00-46A0-BF80-A5533A22338A}"/>
    <cellStyle name="20% - Accent4 3 2 3 2 3" xfId="11738" xr:uid="{B5735F24-3AAD-4644-BAEE-3955413968AE}"/>
    <cellStyle name="20% - Accent4 3 2 3 2 4" xfId="20186" xr:uid="{D1791850-BB9B-4541-95E6-5B1F522DA23D}"/>
    <cellStyle name="20% - Accent4 3 2 3 3" xfId="5361" xr:uid="{00000000-0005-0000-0000-00003B020000}"/>
    <cellStyle name="20% - Accent4 3 2 3 3 2" xfId="13811" xr:uid="{DC3EDA39-DF5C-4D1E-9017-AE0945FFAEA1}"/>
    <cellStyle name="20% - Accent4 3 2 3 3 3" xfId="22258" xr:uid="{2A3B6140-EF7C-43E5-9C70-B6B25C9615B9}"/>
    <cellStyle name="20% - Accent4 3 2 3 4" xfId="9593" xr:uid="{0E2B105F-EDA7-41A9-A449-731BBEE5C289}"/>
    <cellStyle name="20% - Accent4 3 2 3 5" xfId="18041" xr:uid="{19F651F5-849D-4479-9A4F-9E6760545F94}"/>
    <cellStyle name="20% - Accent4 3 2 4" xfId="1467" xr:uid="{00000000-0005-0000-0000-00003C020000}"/>
    <cellStyle name="20% - Accent4 3 2 4 2" xfId="3697" xr:uid="{00000000-0005-0000-0000-00003D020000}"/>
    <cellStyle name="20% - Accent4 3 2 4 2 2" xfId="7919" xr:uid="{00000000-0005-0000-0000-00003E020000}"/>
    <cellStyle name="20% - Accent4 3 2 4 2 2 2" xfId="16369" xr:uid="{08EC9AB3-CC95-43C5-97E6-140F4036368A}"/>
    <cellStyle name="20% - Accent4 3 2 4 2 2 3" xfId="24816" xr:uid="{D4D826F4-62B8-4991-86EC-6002D0EC0475}"/>
    <cellStyle name="20% - Accent4 3 2 4 2 3" xfId="12151" xr:uid="{6693C8BB-E1A1-40A1-9246-D34ED7156909}"/>
    <cellStyle name="20% - Accent4 3 2 4 2 4" xfId="20599" xr:uid="{49CE1915-1745-413D-B1B2-B61F60D2DF8A}"/>
    <cellStyle name="20% - Accent4 3 2 4 3" xfId="5774" xr:uid="{00000000-0005-0000-0000-00003F020000}"/>
    <cellStyle name="20% - Accent4 3 2 4 3 2" xfId="14224" xr:uid="{537BF3F9-0562-4E76-B984-C8473C7BD983}"/>
    <cellStyle name="20% - Accent4 3 2 4 3 3" xfId="22671" xr:uid="{284155E5-484C-467F-88AC-E6625765E794}"/>
    <cellStyle name="20% - Accent4 3 2 4 4" xfId="10006" xr:uid="{55326777-1F24-4520-AF14-6CD7BEAAB953}"/>
    <cellStyle name="20% - Accent4 3 2 4 5" xfId="18454" xr:uid="{962E5974-4825-45FE-A919-2A977C321E81}"/>
    <cellStyle name="20% - Accent4 3 2 5" xfId="1881" xr:uid="{00000000-0005-0000-0000-000040020000}"/>
    <cellStyle name="20% - Accent4 3 2 5 2" xfId="4110" xr:uid="{00000000-0005-0000-0000-000041020000}"/>
    <cellStyle name="20% - Accent4 3 2 5 2 2" xfId="8332" xr:uid="{00000000-0005-0000-0000-000042020000}"/>
    <cellStyle name="20% - Accent4 3 2 5 2 2 2" xfId="16782" xr:uid="{FAEBCEF2-085D-4514-BD49-3A1BE3E079CB}"/>
    <cellStyle name="20% - Accent4 3 2 5 2 2 3" xfId="25229" xr:uid="{69B8EB41-16EA-44C0-80A4-B6078F9CA16C}"/>
    <cellStyle name="20% - Accent4 3 2 5 2 3" xfId="12564" xr:uid="{1B092DEE-0DBC-4417-ACDB-FB7CDAA17C7D}"/>
    <cellStyle name="20% - Accent4 3 2 5 2 4" xfId="21012" xr:uid="{F06D4279-A8AB-4096-99BB-49EABAA29909}"/>
    <cellStyle name="20% - Accent4 3 2 5 3" xfId="6187" xr:uid="{00000000-0005-0000-0000-000043020000}"/>
    <cellStyle name="20% - Accent4 3 2 5 3 2" xfId="14637" xr:uid="{1C3AFC28-1EB1-4665-8A36-019DC67CCB37}"/>
    <cellStyle name="20% - Accent4 3 2 5 3 3" xfId="23084" xr:uid="{8B1D0678-4A8B-4605-92A1-C1EAA73143FC}"/>
    <cellStyle name="20% - Accent4 3 2 5 4" xfId="10419" xr:uid="{126B8604-BD33-4E26-95C6-E14B3C487EBE}"/>
    <cellStyle name="20% - Accent4 3 2 5 5" xfId="18867" xr:uid="{E268FD53-548D-4D83-9B53-6499D9F00135}"/>
    <cellStyle name="20% - Accent4 3 2 6" xfId="2294" xr:uid="{00000000-0005-0000-0000-000044020000}"/>
    <cellStyle name="20% - Accent4 3 2 6 2" xfId="6600" xr:uid="{00000000-0005-0000-0000-000045020000}"/>
    <cellStyle name="20% - Accent4 3 2 6 2 2" xfId="15050" xr:uid="{1C4C09D5-4745-4C11-843B-01747DF6B72E}"/>
    <cellStyle name="20% - Accent4 3 2 6 2 3" xfId="23497" xr:uid="{A6E68182-5BE6-4A06-98DE-3965CB04546D}"/>
    <cellStyle name="20% - Accent4 3 2 6 3" xfId="10832" xr:uid="{C55B2B58-8D6A-4C14-A790-43D496D681E7}"/>
    <cellStyle name="20% - Accent4 3 2 6 4" xfId="19280" xr:uid="{CD666FF8-4B53-4708-A0A1-57F069023498}"/>
    <cellStyle name="20% - Accent4 3 2 7" xfId="4534" xr:uid="{00000000-0005-0000-0000-000046020000}"/>
    <cellStyle name="20% - Accent4 3 2 7 2" xfId="12984" xr:uid="{671CB4FE-0244-4FB5-BA39-77781E179A00}"/>
    <cellStyle name="20% - Accent4 3 2 7 3" xfId="21431" xr:uid="{F6837F41-FBF5-4824-9D0E-251D46F8103A}"/>
    <cellStyle name="20% - Accent4 3 2 8" xfId="8766" xr:uid="{525D6EC2-F30A-4FCA-9DD6-0317489AF1C1}"/>
    <cellStyle name="20% - Accent4 3 2 9" xfId="17214" xr:uid="{C7D784AD-2FFA-4A53-978C-1031CB1A553F}"/>
    <cellStyle name="20% - Accent4 3 3" xfId="599" xr:uid="{00000000-0005-0000-0000-000047020000}"/>
    <cellStyle name="20% - Accent4 3 3 2" xfId="2870" xr:uid="{00000000-0005-0000-0000-000048020000}"/>
    <cellStyle name="20% - Accent4 3 3 2 2" xfId="7092" xr:uid="{00000000-0005-0000-0000-000049020000}"/>
    <cellStyle name="20% - Accent4 3 3 2 2 2" xfId="15542" xr:uid="{DA903776-86EC-48CF-96D4-DC7E264774D3}"/>
    <cellStyle name="20% - Accent4 3 3 2 2 3" xfId="23989" xr:uid="{FBDE1852-4837-46E1-99D1-6BBD25E53E36}"/>
    <cellStyle name="20% - Accent4 3 3 2 3" xfId="11324" xr:uid="{5881F53F-5C6E-4133-918B-ABB86AE7E1C0}"/>
    <cellStyle name="20% - Accent4 3 3 2 4" xfId="19772" xr:uid="{945E2B47-FAB5-4A31-AF53-09553403F412}"/>
    <cellStyle name="20% - Accent4 3 3 3" xfId="4947" xr:uid="{00000000-0005-0000-0000-00004A020000}"/>
    <cellStyle name="20% - Accent4 3 3 3 2" xfId="13397" xr:uid="{E4C4330A-5511-414E-AB88-AD54516B0D88}"/>
    <cellStyle name="20% - Accent4 3 3 3 3" xfId="21844" xr:uid="{D840164B-E03C-474F-BB42-08788EA391DE}"/>
    <cellStyle name="20% - Accent4 3 3 4" xfId="9179" xr:uid="{EA768E4E-6A92-4BF5-84F8-7DA218812DED}"/>
    <cellStyle name="20% - Accent4 3 3 5" xfId="17627" xr:uid="{F0AB25BA-C519-447F-B136-D9C8C2D4535C}"/>
    <cellStyle name="20% - Accent4 3 4" xfId="1052" xr:uid="{00000000-0005-0000-0000-00004B020000}"/>
    <cellStyle name="20% - Accent4 3 4 2" xfId="3283" xr:uid="{00000000-0005-0000-0000-00004C020000}"/>
    <cellStyle name="20% - Accent4 3 4 2 2" xfId="7505" xr:uid="{00000000-0005-0000-0000-00004D020000}"/>
    <cellStyle name="20% - Accent4 3 4 2 2 2" xfId="15955" xr:uid="{B62B036F-A48C-477C-AE48-B292B945AE76}"/>
    <cellStyle name="20% - Accent4 3 4 2 2 3" xfId="24402" xr:uid="{01B5DF19-282D-4B3C-BD8F-16ADDDAF6E90}"/>
    <cellStyle name="20% - Accent4 3 4 2 3" xfId="11737" xr:uid="{F94FCC9D-695B-4C86-AFD3-A1CDDFCBC3C6}"/>
    <cellStyle name="20% - Accent4 3 4 2 4" xfId="20185" xr:uid="{1170630A-ECBA-4FA2-AE24-E2C1FC413D12}"/>
    <cellStyle name="20% - Accent4 3 4 3" xfId="5360" xr:uid="{00000000-0005-0000-0000-00004E020000}"/>
    <cellStyle name="20% - Accent4 3 4 3 2" xfId="13810" xr:uid="{B5BC391F-26EA-4F8E-BB50-956A15546F00}"/>
    <cellStyle name="20% - Accent4 3 4 3 3" xfId="22257" xr:uid="{6F11716C-9ECA-48B2-8731-5DA4B1A1796B}"/>
    <cellStyle name="20% - Accent4 3 4 4" xfId="9592" xr:uid="{379596DD-328D-459B-800F-769CDADB4898}"/>
    <cellStyle name="20% - Accent4 3 4 5" xfId="18040" xr:uid="{8E1D7066-6344-4827-993A-631F70CA1BC0}"/>
    <cellStyle name="20% - Accent4 3 5" xfId="1466" xr:uid="{00000000-0005-0000-0000-00004F020000}"/>
    <cellStyle name="20% - Accent4 3 5 2" xfId="3696" xr:uid="{00000000-0005-0000-0000-000050020000}"/>
    <cellStyle name="20% - Accent4 3 5 2 2" xfId="7918" xr:uid="{00000000-0005-0000-0000-000051020000}"/>
    <cellStyle name="20% - Accent4 3 5 2 2 2" xfId="16368" xr:uid="{769F3FEA-F083-4911-A049-3109B4745034}"/>
    <cellStyle name="20% - Accent4 3 5 2 2 3" xfId="24815" xr:uid="{EC8CBE4C-0457-483E-A846-78D56430533B}"/>
    <cellStyle name="20% - Accent4 3 5 2 3" xfId="12150" xr:uid="{5C571424-31E7-4546-84D7-F850C8A86B3C}"/>
    <cellStyle name="20% - Accent4 3 5 2 4" xfId="20598" xr:uid="{61714C9D-BA2A-4A10-B0F8-5862ABC36787}"/>
    <cellStyle name="20% - Accent4 3 5 3" xfId="5773" xr:uid="{00000000-0005-0000-0000-000052020000}"/>
    <cellStyle name="20% - Accent4 3 5 3 2" xfId="14223" xr:uid="{77CC4916-CE0F-4321-88CF-288B0F5D1FE6}"/>
    <cellStyle name="20% - Accent4 3 5 3 3" xfId="22670" xr:uid="{A952C60D-708B-4768-87AE-D8FE92DE90B7}"/>
    <cellStyle name="20% - Accent4 3 5 4" xfId="10005" xr:uid="{30095E67-7394-4C36-AB4B-907949CF3F67}"/>
    <cellStyle name="20% - Accent4 3 5 5" xfId="18453" xr:uid="{06DBBC86-96A7-4937-9BAC-2221CAD8DB32}"/>
    <cellStyle name="20% - Accent4 3 6" xfId="1880" xr:uid="{00000000-0005-0000-0000-000053020000}"/>
    <cellStyle name="20% - Accent4 3 6 2" xfId="4109" xr:uid="{00000000-0005-0000-0000-000054020000}"/>
    <cellStyle name="20% - Accent4 3 6 2 2" xfId="8331" xr:uid="{00000000-0005-0000-0000-000055020000}"/>
    <cellStyle name="20% - Accent4 3 6 2 2 2" xfId="16781" xr:uid="{D441B532-8317-4C20-91FE-B5E3AF8165FA}"/>
    <cellStyle name="20% - Accent4 3 6 2 2 3" xfId="25228" xr:uid="{95EB2E93-4CEE-4132-BD00-D48B2C40BD5A}"/>
    <cellStyle name="20% - Accent4 3 6 2 3" xfId="12563" xr:uid="{4E39A44E-AAC3-4225-9F74-B779B9D204ED}"/>
    <cellStyle name="20% - Accent4 3 6 2 4" xfId="21011" xr:uid="{3A5443D9-AC21-4C3F-97A9-A7DCB41DF754}"/>
    <cellStyle name="20% - Accent4 3 6 3" xfId="6186" xr:uid="{00000000-0005-0000-0000-000056020000}"/>
    <cellStyle name="20% - Accent4 3 6 3 2" xfId="14636" xr:uid="{F1B2703E-E8EA-4048-A7B9-B11415639911}"/>
    <cellStyle name="20% - Accent4 3 6 3 3" xfId="23083" xr:uid="{6EEC036F-CCE4-43DD-8C26-FDE6F232D89E}"/>
    <cellStyle name="20% - Accent4 3 6 4" xfId="10418" xr:uid="{F72905E1-F216-4AB2-8D6A-58BDF2BAD247}"/>
    <cellStyle name="20% - Accent4 3 6 5" xfId="18866" xr:uid="{851C3DF1-F685-48A6-ACFE-6B29A7362E1F}"/>
    <cellStyle name="20% - Accent4 3 7" xfId="2293" xr:uid="{00000000-0005-0000-0000-000057020000}"/>
    <cellStyle name="20% - Accent4 3 7 2" xfId="6599" xr:uid="{00000000-0005-0000-0000-000058020000}"/>
    <cellStyle name="20% - Accent4 3 7 2 2" xfId="15049" xr:uid="{F8AD66A2-DDA6-4FCA-946A-37C74A656D10}"/>
    <cellStyle name="20% - Accent4 3 7 2 3" xfId="23496" xr:uid="{EC899C2B-9046-42E0-A147-E01357F3553E}"/>
    <cellStyle name="20% - Accent4 3 7 3" xfId="10831" xr:uid="{BBAE18D5-FCFE-4414-8E85-4B3E0F2AD3CF}"/>
    <cellStyle name="20% - Accent4 3 7 4" xfId="19279" xr:uid="{E93EC226-A8FB-4872-A0DC-1A5D0BFB3824}"/>
    <cellStyle name="20% - Accent4 3 8" xfId="4533" xr:uid="{00000000-0005-0000-0000-000059020000}"/>
    <cellStyle name="20% - Accent4 3 8 2" xfId="12983" xr:uid="{5C83BD01-D154-4960-AB08-366A2B80DEFA}"/>
    <cellStyle name="20% - Accent4 3 8 3" xfId="21430" xr:uid="{8ABD1310-A70D-456D-B29E-A05F05C73E8A}"/>
    <cellStyle name="20% - Accent4 3 9" xfId="8765" xr:uid="{CBA48F26-3ED2-4CF5-97B0-24FA24BFA4EA}"/>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2 2 2" xfId="15544" xr:uid="{859AD133-771F-4F7B-A4A4-DDC111E95610}"/>
    <cellStyle name="20% - Accent4 4 2 2 2 3" xfId="23991" xr:uid="{2BECF4E7-9344-4A0E-876F-8C2A3126BA22}"/>
    <cellStyle name="20% - Accent4 4 2 2 3" xfId="11326" xr:uid="{FD587143-DD67-475F-941D-69D74A5EC18C}"/>
    <cellStyle name="20% - Accent4 4 2 2 4" xfId="19774" xr:uid="{06E35114-F9E3-4CC4-8315-2F80AA9A9D43}"/>
    <cellStyle name="20% - Accent4 4 2 3" xfId="4949" xr:uid="{00000000-0005-0000-0000-00005E020000}"/>
    <cellStyle name="20% - Accent4 4 2 3 2" xfId="13399" xr:uid="{4DF25BF4-2D31-4632-8445-67F1F9E003C6}"/>
    <cellStyle name="20% - Accent4 4 2 3 3" xfId="21846" xr:uid="{D3BCCD9D-3CD5-4787-9F69-2EF28AE35C92}"/>
    <cellStyle name="20% - Accent4 4 2 4" xfId="9181" xr:uid="{75276D59-A9BE-45ED-B173-4D0540EE2948}"/>
    <cellStyle name="20% - Accent4 4 2 5" xfId="17629" xr:uid="{18D0FBA4-9BA4-4DDF-95A5-FC5A5C34DDD7}"/>
    <cellStyle name="20% - Accent4 4 3" xfId="1054" xr:uid="{00000000-0005-0000-0000-00005F020000}"/>
    <cellStyle name="20% - Accent4 4 3 2" xfId="3285" xr:uid="{00000000-0005-0000-0000-000060020000}"/>
    <cellStyle name="20% - Accent4 4 3 2 2" xfId="7507" xr:uid="{00000000-0005-0000-0000-000061020000}"/>
    <cellStyle name="20% - Accent4 4 3 2 2 2" xfId="15957" xr:uid="{FE563C5B-42C6-4223-8292-9067A27F84F5}"/>
    <cellStyle name="20% - Accent4 4 3 2 2 3" xfId="24404" xr:uid="{F402A0C9-2600-46B2-848B-764D2011AA80}"/>
    <cellStyle name="20% - Accent4 4 3 2 3" xfId="11739" xr:uid="{2462B3F3-3408-4F2F-A1A5-B5A510921975}"/>
    <cellStyle name="20% - Accent4 4 3 2 4" xfId="20187" xr:uid="{656FB881-6D49-4C12-B6CA-754361992964}"/>
    <cellStyle name="20% - Accent4 4 3 3" xfId="5362" xr:uid="{00000000-0005-0000-0000-000062020000}"/>
    <cellStyle name="20% - Accent4 4 3 3 2" xfId="13812" xr:uid="{EA45ACF9-B0C6-419C-B12F-858CC541B9F6}"/>
    <cellStyle name="20% - Accent4 4 3 3 3" xfId="22259" xr:uid="{9115762B-AF6F-4581-9DC8-F31BEFF1B2DD}"/>
    <cellStyle name="20% - Accent4 4 3 4" xfId="9594" xr:uid="{B5870A8F-5858-4EE9-89AE-A767E9B43882}"/>
    <cellStyle name="20% - Accent4 4 3 5" xfId="18042" xr:uid="{7C811524-D0F1-477B-BFC5-FBEE66B7400C}"/>
    <cellStyle name="20% - Accent4 4 4" xfId="1468" xr:uid="{00000000-0005-0000-0000-000063020000}"/>
    <cellStyle name="20% - Accent4 4 4 2" xfId="3698" xr:uid="{00000000-0005-0000-0000-000064020000}"/>
    <cellStyle name="20% - Accent4 4 4 2 2" xfId="7920" xr:uid="{00000000-0005-0000-0000-000065020000}"/>
    <cellStyle name="20% - Accent4 4 4 2 2 2" xfId="16370" xr:uid="{23063C22-BA4A-41D8-94FE-F04E0007E2D3}"/>
    <cellStyle name="20% - Accent4 4 4 2 2 3" xfId="24817" xr:uid="{BAA041C6-8909-457B-97F1-36CDA9125082}"/>
    <cellStyle name="20% - Accent4 4 4 2 3" xfId="12152" xr:uid="{1F9EF0D2-C04F-4222-AF25-8FBAC254D139}"/>
    <cellStyle name="20% - Accent4 4 4 2 4" xfId="20600" xr:uid="{FFAB6255-B968-4697-AAD0-4F80AC95843D}"/>
    <cellStyle name="20% - Accent4 4 4 3" xfId="5775" xr:uid="{00000000-0005-0000-0000-000066020000}"/>
    <cellStyle name="20% - Accent4 4 4 3 2" xfId="14225" xr:uid="{2BA68D3F-4D04-452D-8A6D-B0E0324A2FFE}"/>
    <cellStyle name="20% - Accent4 4 4 3 3" xfId="22672" xr:uid="{393405B4-7558-4837-A5CE-DAEF6ECE3811}"/>
    <cellStyle name="20% - Accent4 4 4 4" xfId="10007" xr:uid="{44F83BF2-9559-4B9A-A848-E4FD5923544F}"/>
    <cellStyle name="20% - Accent4 4 4 5" xfId="18455" xr:uid="{3129D2D2-B7DD-4654-9753-75DCD046F103}"/>
    <cellStyle name="20% - Accent4 4 5" xfId="1882" xr:uid="{00000000-0005-0000-0000-000067020000}"/>
    <cellStyle name="20% - Accent4 4 5 2" xfId="4111" xr:uid="{00000000-0005-0000-0000-000068020000}"/>
    <cellStyle name="20% - Accent4 4 5 2 2" xfId="8333" xr:uid="{00000000-0005-0000-0000-000069020000}"/>
    <cellStyle name="20% - Accent4 4 5 2 2 2" xfId="16783" xr:uid="{AC84DFC1-9A4D-4CB3-A472-FA1D5770F5B7}"/>
    <cellStyle name="20% - Accent4 4 5 2 2 3" xfId="25230" xr:uid="{DF1C79A9-1809-478E-BC7A-D3E807826600}"/>
    <cellStyle name="20% - Accent4 4 5 2 3" xfId="12565" xr:uid="{EC53D6AB-5AB5-422A-B383-28ADBA48BDB3}"/>
    <cellStyle name="20% - Accent4 4 5 2 4" xfId="21013" xr:uid="{DA75D3B5-48EF-49A0-A40E-442D9934D809}"/>
    <cellStyle name="20% - Accent4 4 5 3" xfId="6188" xr:uid="{00000000-0005-0000-0000-00006A020000}"/>
    <cellStyle name="20% - Accent4 4 5 3 2" xfId="14638" xr:uid="{E93765EF-EA42-41D6-AC2B-02349E5E510F}"/>
    <cellStyle name="20% - Accent4 4 5 3 3" xfId="23085" xr:uid="{9F5CED89-6B35-4181-B551-D31A9EE0B0CA}"/>
    <cellStyle name="20% - Accent4 4 5 4" xfId="10420" xr:uid="{69C174FF-16BA-4652-8A40-7685905BF3C7}"/>
    <cellStyle name="20% - Accent4 4 5 5" xfId="18868" xr:uid="{7F36721C-A7C7-414B-A462-CDF58F795991}"/>
    <cellStyle name="20% - Accent4 4 6" xfId="2295" xr:uid="{00000000-0005-0000-0000-00006B020000}"/>
    <cellStyle name="20% - Accent4 4 6 2" xfId="6601" xr:uid="{00000000-0005-0000-0000-00006C020000}"/>
    <cellStyle name="20% - Accent4 4 6 2 2" xfId="15051" xr:uid="{B0254583-0E1A-42D1-BADE-13C4C36191ED}"/>
    <cellStyle name="20% - Accent4 4 6 2 3" xfId="23498" xr:uid="{327AB879-2F61-4A69-8F4E-2828600F30C8}"/>
    <cellStyle name="20% - Accent4 4 6 3" xfId="10833" xr:uid="{1D4CA229-2637-4B69-B8FF-A61E0184B7C2}"/>
    <cellStyle name="20% - Accent4 4 6 4" xfId="19281" xr:uid="{4DD5DBDB-543D-4472-9460-11DB3B0647E6}"/>
    <cellStyle name="20% - Accent4 4 7" xfId="4535" xr:uid="{00000000-0005-0000-0000-00006D020000}"/>
    <cellStyle name="20% - Accent4 4 7 2" xfId="12985" xr:uid="{40C3F676-A404-46A4-8EFA-05900DCC20A9}"/>
    <cellStyle name="20% - Accent4 4 7 3" xfId="21432" xr:uid="{75A6A638-8931-458F-9F52-386DB462D6E9}"/>
    <cellStyle name="20% - Accent4 4 8" xfId="8767" xr:uid="{B9BBD66E-3020-49F8-934B-1DAFD2004D83}"/>
    <cellStyle name="20% - Accent4 4 9" xfId="17215" xr:uid="{89EC0F0C-E589-430B-8D40-38448E0E3869}"/>
    <cellStyle name="20% - Accent4 5" xfId="594" xr:uid="{00000000-0005-0000-0000-00006E020000}"/>
    <cellStyle name="20% - Accent4 5 2" xfId="2865" xr:uid="{00000000-0005-0000-0000-00006F020000}"/>
    <cellStyle name="20% - Accent4 5 2 2" xfId="7087" xr:uid="{00000000-0005-0000-0000-000070020000}"/>
    <cellStyle name="20% - Accent4 5 2 2 2" xfId="15537" xr:uid="{E1C59B9F-3D11-4FD6-B08E-3A9C94ED422D}"/>
    <cellStyle name="20% - Accent4 5 2 2 3" xfId="23984" xr:uid="{9F1F488F-45EF-4F84-998D-2B928ABA8031}"/>
    <cellStyle name="20% - Accent4 5 2 3" xfId="11319" xr:uid="{954DE5E4-199F-4146-94A4-1838C8E5261D}"/>
    <cellStyle name="20% - Accent4 5 2 4" xfId="19767" xr:uid="{D1C2BA97-1150-44F2-A21B-AC0B40159997}"/>
    <cellStyle name="20% - Accent4 5 3" xfId="4942" xr:uid="{00000000-0005-0000-0000-000071020000}"/>
    <cellStyle name="20% - Accent4 5 3 2" xfId="13392" xr:uid="{3AC747B2-7603-4A9F-806B-279C032A88EE}"/>
    <cellStyle name="20% - Accent4 5 3 3" xfId="21839" xr:uid="{1766D258-F181-45C8-8A4E-46ED0969D790}"/>
    <cellStyle name="20% - Accent4 5 4" xfId="9174" xr:uid="{1B153296-C784-4A00-84B7-E712FB27A6AF}"/>
    <cellStyle name="20% - Accent4 5 5" xfId="17622" xr:uid="{6EA0A23E-8763-4FC8-AAA0-119129CDAD90}"/>
    <cellStyle name="20% - Accent4 6" xfId="1047" xr:uid="{00000000-0005-0000-0000-000072020000}"/>
    <cellStyle name="20% - Accent4 6 2" xfId="3278" xr:uid="{00000000-0005-0000-0000-000073020000}"/>
    <cellStyle name="20% - Accent4 6 2 2" xfId="7500" xr:uid="{00000000-0005-0000-0000-000074020000}"/>
    <cellStyle name="20% - Accent4 6 2 2 2" xfId="15950" xr:uid="{E7E092A7-5F19-4B94-B9E9-AC5FBEED3609}"/>
    <cellStyle name="20% - Accent4 6 2 2 3" xfId="24397" xr:uid="{30853C4A-3372-43AF-A1C7-01C40F759FC8}"/>
    <cellStyle name="20% - Accent4 6 2 3" xfId="11732" xr:uid="{178FFC72-A325-4A6F-A828-9CAABB652C8C}"/>
    <cellStyle name="20% - Accent4 6 2 4" xfId="20180" xr:uid="{5F4B4629-F9E9-443D-B28D-BF39A6A31E0A}"/>
    <cellStyle name="20% - Accent4 6 3" xfId="5355" xr:uid="{00000000-0005-0000-0000-000075020000}"/>
    <cellStyle name="20% - Accent4 6 3 2" xfId="13805" xr:uid="{1429CAD6-EC34-4572-9B20-EA36B09448C2}"/>
    <cellStyle name="20% - Accent4 6 3 3" xfId="22252" xr:uid="{81D83C8B-7EC1-4145-B3EE-0EA755A403D2}"/>
    <cellStyle name="20% - Accent4 6 4" xfId="9587" xr:uid="{85FCC1B3-0B06-4EBF-A855-35508EEDE919}"/>
    <cellStyle name="20% - Accent4 6 5" xfId="18035" xr:uid="{42AAC1BF-E476-4D33-8F76-0246C3591CD5}"/>
    <cellStyle name="20% - Accent4 7" xfId="1461" xr:uid="{00000000-0005-0000-0000-000076020000}"/>
    <cellStyle name="20% - Accent4 7 2" xfId="3691" xr:uid="{00000000-0005-0000-0000-000077020000}"/>
    <cellStyle name="20% - Accent4 7 2 2" xfId="7913" xr:uid="{00000000-0005-0000-0000-000078020000}"/>
    <cellStyle name="20% - Accent4 7 2 2 2" xfId="16363" xr:uid="{45D6478E-F482-4DF4-AE87-272EE2C0064E}"/>
    <cellStyle name="20% - Accent4 7 2 2 3" xfId="24810" xr:uid="{C435C0CB-05C4-4C82-9CB2-072B6F2E4461}"/>
    <cellStyle name="20% - Accent4 7 2 3" xfId="12145" xr:uid="{EF1E7A9F-D4C4-444C-9043-87D9BCCE1459}"/>
    <cellStyle name="20% - Accent4 7 2 4" xfId="20593" xr:uid="{EEAD34C8-EF7A-48A3-9CD6-AC601779868C}"/>
    <cellStyle name="20% - Accent4 7 3" xfId="5768" xr:uid="{00000000-0005-0000-0000-000079020000}"/>
    <cellStyle name="20% - Accent4 7 3 2" xfId="14218" xr:uid="{D36FBA89-31AD-4A24-8519-6ECE083FC1CC}"/>
    <cellStyle name="20% - Accent4 7 3 3" xfId="22665" xr:uid="{0BB47066-2E39-4AFB-876D-81DFF4A22B92}"/>
    <cellStyle name="20% - Accent4 7 4" xfId="10000" xr:uid="{566AAC41-0BC7-43E7-BF7F-F1AE8604AC06}"/>
    <cellStyle name="20% - Accent4 7 5" xfId="18448" xr:uid="{E536B4B0-3E41-4153-8A65-4D7075B88AC0}"/>
    <cellStyle name="20% - Accent4 8" xfId="1875" xr:uid="{00000000-0005-0000-0000-00007A020000}"/>
    <cellStyle name="20% - Accent4 8 2" xfId="4104" xr:uid="{00000000-0005-0000-0000-00007B020000}"/>
    <cellStyle name="20% - Accent4 8 2 2" xfId="8326" xr:uid="{00000000-0005-0000-0000-00007C020000}"/>
    <cellStyle name="20% - Accent4 8 2 2 2" xfId="16776" xr:uid="{19891C9D-E388-414A-BF66-DB01D03C254B}"/>
    <cellStyle name="20% - Accent4 8 2 2 3" xfId="25223" xr:uid="{FD22B184-9BDA-4088-A643-A6B2B44C1940}"/>
    <cellStyle name="20% - Accent4 8 2 3" xfId="12558" xr:uid="{00FD504D-FDEA-4899-9024-C4D6DE7C8237}"/>
    <cellStyle name="20% - Accent4 8 2 4" xfId="21006" xr:uid="{03E5F955-89BB-43DC-950C-29017951E392}"/>
    <cellStyle name="20% - Accent4 8 3" xfId="6181" xr:uid="{00000000-0005-0000-0000-00007D020000}"/>
    <cellStyle name="20% - Accent4 8 3 2" xfId="14631" xr:uid="{7DBA0F4C-3621-4A43-9AF4-087312DF3CE2}"/>
    <cellStyle name="20% - Accent4 8 3 3" xfId="23078" xr:uid="{66CEE550-A0DC-44B3-9056-8E8D2DE9FC86}"/>
    <cellStyle name="20% - Accent4 8 4" xfId="10413" xr:uid="{6927F22C-80AF-49D1-BD7B-2F1429DC86C0}"/>
    <cellStyle name="20% - Accent4 8 5" xfId="18861" xr:uid="{5315D24E-7815-49D1-A854-EC8B66D5A08D}"/>
    <cellStyle name="20% - Accent4 9" xfId="2288" xr:uid="{00000000-0005-0000-0000-00007E020000}"/>
    <cellStyle name="20% - Accent4 9 2" xfId="6594" xr:uid="{00000000-0005-0000-0000-00007F020000}"/>
    <cellStyle name="20% - Accent4 9 2 2" xfId="15044" xr:uid="{307D543F-61C7-446B-B4A5-A88E51D14F5D}"/>
    <cellStyle name="20% - Accent4 9 2 3" xfId="23491" xr:uid="{443DDD18-246F-4255-A34D-C7BEFEE15557}"/>
    <cellStyle name="20% - Accent4 9 3" xfId="10826" xr:uid="{140C1432-6037-4A61-AC19-0201F2F483FB}"/>
    <cellStyle name="20% - Accent4 9 4" xfId="19274" xr:uid="{94AAA8D4-7BD5-4A35-833F-26B34E998687}"/>
    <cellStyle name="20% - Accent5" xfId="33" builtinId="46" customBuiltin="1"/>
    <cellStyle name="20% - Accent5 10" xfId="4536" xr:uid="{00000000-0005-0000-0000-000081020000}"/>
    <cellStyle name="20% - Accent5 10 2" xfId="12986" xr:uid="{6B231352-844B-4019-A9DB-44331E90156E}"/>
    <cellStyle name="20% - Accent5 10 3" xfId="21433" xr:uid="{B26B85C9-6F36-494B-9D72-02E2B50B9D0C}"/>
    <cellStyle name="20% - Accent5 11" xfId="8768" xr:uid="{A84CD36A-86EA-4485-B3DB-6C657EC7A95A}"/>
    <cellStyle name="20% - Accent5 12" xfId="17216" xr:uid="{2321AF61-321F-4E8E-ACBC-C9ECBC5568D2}"/>
    <cellStyle name="20% - Accent5 2" xfId="34" xr:uid="{00000000-0005-0000-0000-000082020000}"/>
    <cellStyle name="20% - Accent5 2 10" xfId="8769" xr:uid="{91950083-21F7-44C9-BB02-89127CC86B3D}"/>
    <cellStyle name="20% - Accent5 2 11" xfId="17217" xr:uid="{38F8DB4D-A08C-403F-99AD-B9BAF2763586}"/>
    <cellStyle name="20% - Accent5 2 2" xfId="35" xr:uid="{00000000-0005-0000-0000-000083020000}"/>
    <cellStyle name="20% - Accent5 2 2 10" xfId="17218" xr:uid="{CD20A174-AC77-4354-B38C-5772BDDA8996}"/>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2 2 2" xfId="15548" xr:uid="{43E28DB9-87C0-4689-AEED-7FA25ABC1ED2}"/>
    <cellStyle name="20% - Accent5 2 2 2 2 2 2 3" xfId="23995" xr:uid="{4C78A339-7D0D-4935-9EAF-7E6DB1708CEE}"/>
    <cellStyle name="20% - Accent5 2 2 2 2 2 3" xfId="11330" xr:uid="{415FDEB3-EFD9-447A-A4BB-AF8DF6830E09}"/>
    <cellStyle name="20% - Accent5 2 2 2 2 2 4" xfId="19778" xr:uid="{D439DC78-FD60-4F5A-8094-AF4ECB919F03}"/>
    <cellStyle name="20% - Accent5 2 2 2 2 3" xfId="4953" xr:uid="{00000000-0005-0000-0000-000088020000}"/>
    <cellStyle name="20% - Accent5 2 2 2 2 3 2" xfId="13403" xr:uid="{90E183F0-495F-444F-BAE6-20ABB1ECC4D6}"/>
    <cellStyle name="20% - Accent5 2 2 2 2 3 3" xfId="21850" xr:uid="{5CD0BF7B-F2F0-4575-A7BA-3A3E1BE433FA}"/>
    <cellStyle name="20% - Accent5 2 2 2 2 4" xfId="9185" xr:uid="{025DB5C5-6E33-44C5-BBCC-C4055CCA7B42}"/>
    <cellStyle name="20% - Accent5 2 2 2 2 5" xfId="17633" xr:uid="{836DE616-8072-47E0-8ACF-945AF868CDC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2 2 2" xfId="15961" xr:uid="{9823F91E-4299-4E92-B347-F5257624364E}"/>
    <cellStyle name="20% - Accent5 2 2 2 3 2 2 3" xfId="24408" xr:uid="{BB7FEB13-D589-4946-8E63-962A5548BE4F}"/>
    <cellStyle name="20% - Accent5 2 2 2 3 2 3" xfId="11743" xr:uid="{9C7A7886-034C-4485-8448-CFF7ABF37910}"/>
    <cellStyle name="20% - Accent5 2 2 2 3 2 4" xfId="20191" xr:uid="{FA8DD3CA-E25F-481C-82B5-E5C125780F21}"/>
    <cellStyle name="20% - Accent5 2 2 2 3 3" xfId="5366" xr:uid="{00000000-0005-0000-0000-00008C020000}"/>
    <cellStyle name="20% - Accent5 2 2 2 3 3 2" xfId="13816" xr:uid="{C3482C45-F9CD-44C8-9CF7-0794DC08050E}"/>
    <cellStyle name="20% - Accent5 2 2 2 3 3 3" xfId="22263" xr:uid="{F83ABAA0-C455-4154-B09E-DD0B79DD8EE2}"/>
    <cellStyle name="20% - Accent5 2 2 2 3 4" xfId="9598" xr:uid="{B6C8BCCF-8B72-49C1-9485-FB2C08ED9E89}"/>
    <cellStyle name="20% - Accent5 2 2 2 3 5" xfId="18046" xr:uid="{2DBA380F-02BD-413D-B7F0-C130FE17D75D}"/>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2 2 2" xfId="16374" xr:uid="{4232A20A-0E3A-4DB3-9A76-A6CF2104754C}"/>
    <cellStyle name="20% - Accent5 2 2 2 4 2 2 3" xfId="24821" xr:uid="{DF6FD5B8-5282-4692-93A6-CEB2474C5158}"/>
    <cellStyle name="20% - Accent5 2 2 2 4 2 3" xfId="12156" xr:uid="{9F52E7BD-1AD3-4450-91C4-3EB499901835}"/>
    <cellStyle name="20% - Accent5 2 2 2 4 2 4" xfId="20604" xr:uid="{BFB1F104-690B-440C-B72C-44A6B764585B}"/>
    <cellStyle name="20% - Accent5 2 2 2 4 3" xfId="5779" xr:uid="{00000000-0005-0000-0000-000090020000}"/>
    <cellStyle name="20% - Accent5 2 2 2 4 3 2" xfId="14229" xr:uid="{B10C51CF-E885-451F-8CF2-3ADA1F22447F}"/>
    <cellStyle name="20% - Accent5 2 2 2 4 3 3" xfId="22676" xr:uid="{C5307C35-9F06-4984-A4DF-97D2B47B6435}"/>
    <cellStyle name="20% - Accent5 2 2 2 4 4" xfId="10011" xr:uid="{4242D925-8A22-42BC-8E17-AD1EE412C25D}"/>
    <cellStyle name="20% - Accent5 2 2 2 4 5" xfId="18459" xr:uid="{27A011B4-1215-4651-9E30-2CD70E30EB6B}"/>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2 2 2" xfId="16787" xr:uid="{D90B0C5E-ABD7-47B8-840D-074AEE4648C9}"/>
    <cellStyle name="20% - Accent5 2 2 2 5 2 2 3" xfId="25234" xr:uid="{A2486A58-AA9B-4947-A153-1C64D321F106}"/>
    <cellStyle name="20% - Accent5 2 2 2 5 2 3" xfId="12569" xr:uid="{50B125D7-FA48-4433-B367-68D0CC2B2FF2}"/>
    <cellStyle name="20% - Accent5 2 2 2 5 2 4" xfId="21017" xr:uid="{7D4D25FF-24D5-4145-B8DB-C4EEEB9B5B49}"/>
    <cellStyle name="20% - Accent5 2 2 2 5 3" xfId="6192" xr:uid="{00000000-0005-0000-0000-000094020000}"/>
    <cellStyle name="20% - Accent5 2 2 2 5 3 2" xfId="14642" xr:uid="{922BE1BC-A373-4411-927A-EC2EF42D8FBE}"/>
    <cellStyle name="20% - Accent5 2 2 2 5 3 3" xfId="23089" xr:uid="{DEB632A0-1BA1-4390-B07E-9505AA78CB94}"/>
    <cellStyle name="20% - Accent5 2 2 2 5 4" xfId="10424" xr:uid="{5CA50E20-3E1B-427C-982C-9FC26D249939}"/>
    <cellStyle name="20% - Accent5 2 2 2 5 5" xfId="18872" xr:uid="{1257FEFB-8123-420A-B974-877B78A7FEA7}"/>
    <cellStyle name="20% - Accent5 2 2 2 6" xfId="2299" xr:uid="{00000000-0005-0000-0000-000095020000}"/>
    <cellStyle name="20% - Accent5 2 2 2 6 2" xfId="6605" xr:uid="{00000000-0005-0000-0000-000096020000}"/>
    <cellStyle name="20% - Accent5 2 2 2 6 2 2" xfId="15055" xr:uid="{37CF34D1-F67B-44E8-8560-B41868F56268}"/>
    <cellStyle name="20% - Accent5 2 2 2 6 2 3" xfId="23502" xr:uid="{79568945-37D6-4455-8125-F7FE551C3AF2}"/>
    <cellStyle name="20% - Accent5 2 2 2 6 3" xfId="10837" xr:uid="{9D92372F-38C7-4A56-AA4C-7CD4C9EC037E}"/>
    <cellStyle name="20% - Accent5 2 2 2 6 4" xfId="19285" xr:uid="{9B776903-0178-4D35-9D65-F5AD34B8BF4C}"/>
    <cellStyle name="20% - Accent5 2 2 2 7" xfId="4539" xr:uid="{00000000-0005-0000-0000-000097020000}"/>
    <cellStyle name="20% - Accent5 2 2 2 7 2" xfId="12989" xr:uid="{46062D77-3106-4A7B-BAF8-D39C975F619B}"/>
    <cellStyle name="20% - Accent5 2 2 2 7 3" xfId="21436" xr:uid="{923BE66E-7C6E-4CA1-9184-B940BAE627A3}"/>
    <cellStyle name="20% - Accent5 2 2 2 8" xfId="8771" xr:uid="{C5E40247-D44E-4893-9108-B18D2189C051}"/>
    <cellStyle name="20% - Accent5 2 2 2 9" xfId="17219" xr:uid="{CE4D42CA-4E48-44D4-801A-DB9A8D0CB919}"/>
    <cellStyle name="20% - Accent5 2 2 3" xfId="604" xr:uid="{00000000-0005-0000-0000-000098020000}"/>
    <cellStyle name="20% - Accent5 2 2 3 2" xfId="2875" xr:uid="{00000000-0005-0000-0000-000099020000}"/>
    <cellStyle name="20% - Accent5 2 2 3 2 2" xfId="7097" xr:uid="{00000000-0005-0000-0000-00009A020000}"/>
    <cellStyle name="20% - Accent5 2 2 3 2 2 2" xfId="15547" xr:uid="{16B98E28-4212-4518-ACFC-0F2F4525814E}"/>
    <cellStyle name="20% - Accent5 2 2 3 2 2 3" xfId="23994" xr:uid="{42996FA9-B8A4-421C-AE9E-CE547E4D0276}"/>
    <cellStyle name="20% - Accent5 2 2 3 2 3" xfId="11329" xr:uid="{E2402719-BF97-4E3C-ACC9-153A8E12847C}"/>
    <cellStyle name="20% - Accent5 2 2 3 2 4" xfId="19777" xr:uid="{AF98BD81-137D-4357-8EED-42D760823048}"/>
    <cellStyle name="20% - Accent5 2 2 3 3" xfId="4952" xr:uid="{00000000-0005-0000-0000-00009B020000}"/>
    <cellStyle name="20% - Accent5 2 2 3 3 2" xfId="13402" xr:uid="{45B5AD1F-2800-47EC-8BD7-EEF65B5896DE}"/>
    <cellStyle name="20% - Accent5 2 2 3 3 3" xfId="21849" xr:uid="{27013A6F-D095-4372-AD68-C3D2111BA1CE}"/>
    <cellStyle name="20% - Accent5 2 2 3 4" xfId="9184" xr:uid="{9855F222-BD84-4476-8BAF-295F560E8D95}"/>
    <cellStyle name="20% - Accent5 2 2 3 5" xfId="17632" xr:uid="{AA4A58BD-11F0-47D3-A9B9-723CD570B132}"/>
    <cellStyle name="20% - Accent5 2 2 4" xfId="1057" xr:uid="{00000000-0005-0000-0000-00009C020000}"/>
    <cellStyle name="20% - Accent5 2 2 4 2" xfId="3288" xr:uid="{00000000-0005-0000-0000-00009D020000}"/>
    <cellStyle name="20% - Accent5 2 2 4 2 2" xfId="7510" xr:uid="{00000000-0005-0000-0000-00009E020000}"/>
    <cellStyle name="20% - Accent5 2 2 4 2 2 2" xfId="15960" xr:uid="{9124E1CF-57E4-4EAB-B37E-DE9B3DFC1B62}"/>
    <cellStyle name="20% - Accent5 2 2 4 2 2 3" xfId="24407" xr:uid="{BF5CAEE9-4E60-4663-9638-4057BAF4191C}"/>
    <cellStyle name="20% - Accent5 2 2 4 2 3" xfId="11742" xr:uid="{D5C12E10-41C5-44A6-B253-4208F251AFCD}"/>
    <cellStyle name="20% - Accent5 2 2 4 2 4" xfId="20190" xr:uid="{83C7E651-A626-4946-8886-8121AEA2D9CF}"/>
    <cellStyle name="20% - Accent5 2 2 4 3" xfId="5365" xr:uid="{00000000-0005-0000-0000-00009F020000}"/>
    <cellStyle name="20% - Accent5 2 2 4 3 2" xfId="13815" xr:uid="{A684FBD5-6003-4CB9-9564-C04504581C0E}"/>
    <cellStyle name="20% - Accent5 2 2 4 3 3" xfId="22262" xr:uid="{7521BD6A-0FFE-4C76-B8BA-B836467B674C}"/>
    <cellStyle name="20% - Accent5 2 2 4 4" xfId="9597" xr:uid="{3CAEF979-5A62-4351-82F7-9B9C27DBA40F}"/>
    <cellStyle name="20% - Accent5 2 2 4 5" xfId="18045" xr:uid="{F7448642-52DF-430B-8217-A574F34A1F1D}"/>
    <cellStyle name="20% - Accent5 2 2 5" xfId="1471" xr:uid="{00000000-0005-0000-0000-0000A0020000}"/>
    <cellStyle name="20% - Accent5 2 2 5 2" xfId="3701" xr:uid="{00000000-0005-0000-0000-0000A1020000}"/>
    <cellStyle name="20% - Accent5 2 2 5 2 2" xfId="7923" xr:uid="{00000000-0005-0000-0000-0000A2020000}"/>
    <cellStyle name="20% - Accent5 2 2 5 2 2 2" xfId="16373" xr:uid="{16C82B98-8042-413F-B044-B41F3B007175}"/>
    <cellStyle name="20% - Accent5 2 2 5 2 2 3" xfId="24820" xr:uid="{1CDC9FF3-3877-4907-B6F7-A1A79EF993E4}"/>
    <cellStyle name="20% - Accent5 2 2 5 2 3" xfId="12155" xr:uid="{055A9531-3D78-4708-AA96-73239349C5E2}"/>
    <cellStyle name="20% - Accent5 2 2 5 2 4" xfId="20603" xr:uid="{03909B73-9A0D-4CEA-A403-CE7552A03FA3}"/>
    <cellStyle name="20% - Accent5 2 2 5 3" xfId="5778" xr:uid="{00000000-0005-0000-0000-0000A3020000}"/>
    <cellStyle name="20% - Accent5 2 2 5 3 2" xfId="14228" xr:uid="{1670A620-A3B7-4AEA-9CCF-40F636A1D44C}"/>
    <cellStyle name="20% - Accent5 2 2 5 3 3" xfId="22675" xr:uid="{794CF81E-A006-4CE0-8DDD-3B9051722BDB}"/>
    <cellStyle name="20% - Accent5 2 2 5 4" xfId="10010" xr:uid="{003D4FC4-1657-45FD-BD0F-693EE3BA722A}"/>
    <cellStyle name="20% - Accent5 2 2 5 5" xfId="18458" xr:uid="{C8D6D8AB-7C99-4E68-B88B-3AB289B4B59E}"/>
    <cellStyle name="20% - Accent5 2 2 6" xfId="1885" xr:uid="{00000000-0005-0000-0000-0000A4020000}"/>
    <cellStyle name="20% - Accent5 2 2 6 2" xfId="4114" xr:uid="{00000000-0005-0000-0000-0000A5020000}"/>
    <cellStyle name="20% - Accent5 2 2 6 2 2" xfId="8336" xr:uid="{00000000-0005-0000-0000-0000A6020000}"/>
    <cellStyle name="20% - Accent5 2 2 6 2 2 2" xfId="16786" xr:uid="{610E880C-8F57-48B7-83B2-77D2B013F75E}"/>
    <cellStyle name="20% - Accent5 2 2 6 2 2 3" xfId="25233" xr:uid="{8E6A9BEE-9BC2-45AE-812E-E54F294E6D95}"/>
    <cellStyle name="20% - Accent5 2 2 6 2 3" xfId="12568" xr:uid="{C7DA03AF-75C6-45D9-8E25-F30C34AB3543}"/>
    <cellStyle name="20% - Accent5 2 2 6 2 4" xfId="21016" xr:uid="{B1E683AC-AA58-4937-AF01-52A58D380ABF}"/>
    <cellStyle name="20% - Accent5 2 2 6 3" xfId="6191" xr:uid="{00000000-0005-0000-0000-0000A7020000}"/>
    <cellStyle name="20% - Accent5 2 2 6 3 2" xfId="14641" xr:uid="{E2738D3A-A0C8-4D3A-BA25-8AEEC4768F44}"/>
    <cellStyle name="20% - Accent5 2 2 6 3 3" xfId="23088" xr:uid="{02F50E00-6BD2-45C4-8F1B-76AD24ABD202}"/>
    <cellStyle name="20% - Accent5 2 2 6 4" xfId="10423" xr:uid="{FACA51F5-2613-49B6-9DD4-077F7BB824D2}"/>
    <cellStyle name="20% - Accent5 2 2 6 5" xfId="18871" xr:uid="{6DD2E379-9746-4609-BE4A-60D07CCEE844}"/>
    <cellStyle name="20% - Accent5 2 2 7" xfId="2298" xr:uid="{00000000-0005-0000-0000-0000A8020000}"/>
    <cellStyle name="20% - Accent5 2 2 7 2" xfId="6604" xr:uid="{00000000-0005-0000-0000-0000A9020000}"/>
    <cellStyle name="20% - Accent5 2 2 7 2 2" xfId="15054" xr:uid="{234B2531-A939-4C56-8D8D-71E0CBEC4685}"/>
    <cellStyle name="20% - Accent5 2 2 7 2 3" xfId="23501" xr:uid="{0D2E1C24-915B-40E9-AD74-D9A7682FEB7C}"/>
    <cellStyle name="20% - Accent5 2 2 7 3" xfId="10836" xr:uid="{296243CA-8841-45BD-B4A8-79DCA6C5457B}"/>
    <cellStyle name="20% - Accent5 2 2 7 4" xfId="19284" xr:uid="{C062DDFB-BF42-4563-A055-79D96C6E9FDC}"/>
    <cellStyle name="20% - Accent5 2 2 8" xfId="4538" xr:uid="{00000000-0005-0000-0000-0000AA020000}"/>
    <cellStyle name="20% - Accent5 2 2 8 2" xfId="12988" xr:uid="{A5EF0BD5-E4F1-4CB0-A08F-6681280D5503}"/>
    <cellStyle name="20% - Accent5 2 2 8 3" xfId="21435" xr:uid="{8D8FDFE8-C565-47FA-AEC0-B1AC5A7D0FC5}"/>
    <cellStyle name="20% - Accent5 2 2 9" xfId="8770" xr:uid="{2496E798-58AE-4716-8E2E-BDF3654552D8}"/>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2 2 2" xfId="15549" xr:uid="{525A6A12-CFB8-4D73-89C9-A4119A307663}"/>
    <cellStyle name="20% - Accent5 2 3 2 2 2 3" xfId="23996" xr:uid="{08117F65-D9CE-418D-AFA8-890895E66991}"/>
    <cellStyle name="20% - Accent5 2 3 2 2 3" xfId="11331" xr:uid="{21FD409F-2218-4067-B60D-9557A9836945}"/>
    <cellStyle name="20% - Accent5 2 3 2 2 4" xfId="19779" xr:uid="{88485FB7-D2CB-41B5-899E-CBD92E8EE719}"/>
    <cellStyle name="20% - Accent5 2 3 2 3" xfId="4954" xr:uid="{00000000-0005-0000-0000-0000AF020000}"/>
    <cellStyle name="20% - Accent5 2 3 2 3 2" xfId="13404" xr:uid="{245D8EBD-F467-4438-9788-4EBF829A740E}"/>
    <cellStyle name="20% - Accent5 2 3 2 3 3" xfId="21851" xr:uid="{7E25EE94-4683-4FFA-B315-C04581DCF083}"/>
    <cellStyle name="20% - Accent5 2 3 2 4" xfId="9186" xr:uid="{FDDD6101-0F62-422D-BD49-113A0F274738}"/>
    <cellStyle name="20% - Accent5 2 3 2 5" xfId="17634" xr:uid="{4A94272C-F34E-4930-B1EC-4054A607FFBA}"/>
    <cellStyle name="20% - Accent5 2 3 3" xfId="1059" xr:uid="{00000000-0005-0000-0000-0000B0020000}"/>
    <cellStyle name="20% - Accent5 2 3 3 2" xfId="3290" xr:uid="{00000000-0005-0000-0000-0000B1020000}"/>
    <cellStyle name="20% - Accent5 2 3 3 2 2" xfId="7512" xr:uid="{00000000-0005-0000-0000-0000B2020000}"/>
    <cellStyle name="20% - Accent5 2 3 3 2 2 2" xfId="15962" xr:uid="{733A8716-1C8D-4A99-AB06-7D3FB3BAE50E}"/>
    <cellStyle name="20% - Accent5 2 3 3 2 2 3" xfId="24409" xr:uid="{1A06E621-A9F5-4354-A72A-3C7ECCE65F3D}"/>
    <cellStyle name="20% - Accent5 2 3 3 2 3" xfId="11744" xr:uid="{3029168A-53FB-48D1-893A-4A5FFB398437}"/>
    <cellStyle name="20% - Accent5 2 3 3 2 4" xfId="20192" xr:uid="{52E1EE28-24A6-425B-93AC-8D8FF08CE79A}"/>
    <cellStyle name="20% - Accent5 2 3 3 3" xfId="5367" xr:uid="{00000000-0005-0000-0000-0000B3020000}"/>
    <cellStyle name="20% - Accent5 2 3 3 3 2" xfId="13817" xr:uid="{F24B2150-AB48-4A16-8284-A447E3FAAA2C}"/>
    <cellStyle name="20% - Accent5 2 3 3 3 3" xfId="22264" xr:uid="{71DD12F5-9EB4-4B8D-9F7C-FD65B6DEE675}"/>
    <cellStyle name="20% - Accent5 2 3 3 4" xfId="9599" xr:uid="{548D1826-AB7B-4D52-B969-38D5A9AC4B92}"/>
    <cellStyle name="20% - Accent5 2 3 3 5" xfId="18047" xr:uid="{900312E1-848A-4B9F-B19B-443799D8C201}"/>
    <cellStyle name="20% - Accent5 2 3 4" xfId="1473" xr:uid="{00000000-0005-0000-0000-0000B4020000}"/>
    <cellStyle name="20% - Accent5 2 3 4 2" xfId="3703" xr:uid="{00000000-0005-0000-0000-0000B5020000}"/>
    <cellStyle name="20% - Accent5 2 3 4 2 2" xfId="7925" xr:uid="{00000000-0005-0000-0000-0000B6020000}"/>
    <cellStyle name="20% - Accent5 2 3 4 2 2 2" xfId="16375" xr:uid="{268EE27A-C4E5-43B2-8CD2-58057B453ADB}"/>
    <cellStyle name="20% - Accent5 2 3 4 2 2 3" xfId="24822" xr:uid="{DD7B31A1-8F4C-4237-9502-FBC0703EE4E5}"/>
    <cellStyle name="20% - Accent5 2 3 4 2 3" xfId="12157" xr:uid="{35777100-106C-4822-8920-B41117D645C4}"/>
    <cellStyle name="20% - Accent5 2 3 4 2 4" xfId="20605" xr:uid="{36D8F6BD-067F-47DB-813C-D38AFEEE6EB2}"/>
    <cellStyle name="20% - Accent5 2 3 4 3" xfId="5780" xr:uid="{00000000-0005-0000-0000-0000B7020000}"/>
    <cellStyle name="20% - Accent5 2 3 4 3 2" xfId="14230" xr:uid="{0FD8E256-87CF-4489-8B6B-38F4B65A8769}"/>
    <cellStyle name="20% - Accent5 2 3 4 3 3" xfId="22677" xr:uid="{CCBD4920-B53A-4ABD-BF72-6F75050AA912}"/>
    <cellStyle name="20% - Accent5 2 3 4 4" xfId="10012" xr:uid="{16319CE7-072D-43E2-9845-A4FE33AD85EF}"/>
    <cellStyle name="20% - Accent5 2 3 4 5" xfId="18460" xr:uid="{4C252330-C791-4FE0-9F36-02C9AC857511}"/>
    <cellStyle name="20% - Accent5 2 3 5" xfId="1887" xr:uid="{00000000-0005-0000-0000-0000B8020000}"/>
    <cellStyle name="20% - Accent5 2 3 5 2" xfId="4116" xr:uid="{00000000-0005-0000-0000-0000B9020000}"/>
    <cellStyle name="20% - Accent5 2 3 5 2 2" xfId="8338" xr:uid="{00000000-0005-0000-0000-0000BA020000}"/>
    <cellStyle name="20% - Accent5 2 3 5 2 2 2" xfId="16788" xr:uid="{D1E2566C-0748-4340-B691-D762CEB18FDD}"/>
    <cellStyle name="20% - Accent5 2 3 5 2 2 3" xfId="25235" xr:uid="{1606EF93-207D-42F0-80F1-2364AAE3C413}"/>
    <cellStyle name="20% - Accent5 2 3 5 2 3" xfId="12570" xr:uid="{9E76D4C7-52F3-4686-861E-473E74F2BAA3}"/>
    <cellStyle name="20% - Accent5 2 3 5 2 4" xfId="21018" xr:uid="{661DA3BA-EA98-4093-97D9-A8F4C83A8611}"/>
    <cellStyle name="20% - Accent5 2 3 5 3" xfId="6193" xr:uid="{00000000-0005-0000-0000-0000BB020000}"/>
    <cellStyle name="20% - Accent5 2 3 5 3 2" xfId="14643" xr:uid="{BE328C94-0667-4A02-B975-4748ABF8BA0B}"/>
    <cellStyle name="20% - Accent5 2 3 5 3 3" xfId="23090" xr:uid="{6F741701-6F56-4102-8F80-F5AD63EED140}"/>
    <cellStyle name="20% - Accent5 2 3 5 4" xfId="10425" xr:uid="{F22C7DE2-7388-44D7-B5AF-7071799C28AE}"/>
    <cellStyle name="20% - Accent5 2 3 5 5" xfId="18873" xr:uid="{DAA840CE-F69E-48E3-AAF2-2D00448E919C}"/>
    <cellStyle name="20% - Accent5 2 3 6" xfId="2300" xr:uid="{00000000-0005-0000-0000-0000BC020000}"/>
    <cellStyle name="20% - Accent5 2 3 6 2" xfId="6606" xr:uid="{00000000-0005-0000-0000-0000BD020000}"/>
    <cellStyle name="20% - Accent5 2 3 6 2 2" xfId="15056" xr:uid="{B73A81F4-23C2-4DE7-B9E4-F2BFB64A4436}"/>
    <cellStyle name="20% - Accent5 2 3 6 2 3" xfId="23503" xr:uid="{66B6CE7D-390F-41EC-807B-229125E88485}"/>
    <cellStyle name="20% - Accent5 2 3 6 3" xfId="10838" xr:uid="{6065AD85-305D-4169-852E-24CF63C8AE14}"/>
    <cellStyle name="20% - Accent5 2 3 6 4" xfId="19286" xr:uid="{1FAB0347-77C8-4C21-991A-9A94B60E07AC}"/>
    <cellStyle name="20% - Accent5 2 3 7" xfId="4540" xr:uid="{00000000-0005-0000-0000-0000BE020000}"/>
    <cellStyle name="20% - Accent5 2 3 7 2" xfId="12990" xr:uid="{745E9C4B-E36E-4270-85A7-4631224BC0A9}"/>
    <cellStyle name="20% - Accent5 2 3 7 3" xfId="21437" xr:uid="{841A2B14-74C8-420C-BBB7-2A1DAD737F3F}"/>
    <cellStyle name="20% - Accent5 2 3 8" xfId="8772" xr:uid="{82F9EED1-784B-41B6-B588-03951825E922}"/>
    <cellStyle name="20% - Accent5 2 3 9" xfId="17220" xr:uid="{45E6D34F-568C-4EC6-9A43-8D63E8E58481}"/>
    <cellStyle name="20% - Accent5 2 4" xfId="603" xr:uid="{00000000-0005-0000-0000-0000BF020000}"/>
    <cellStyle name="20% - Accent5 2 4 2" xfId="2874" xr:uid="{00000000-0005-0000-0000-0000C0020000}"/>
    <cellStyle name="20% - Accent5 2 4 2 2" xfId="7096" xr:uid="{00000000-0005-0000-0000-0000C1020000}"/>
    <cellStyle name="20% - Accent5 2 4 2 2 2" xfId="15546" xr:uid="{D901C959-80D1-4264-849C-8A3995F45C52}"/>
    <cellStyle name="20% - Accent5 2 4 2 2 3" xfId="23993" xr:uid="{FA3C2D53-01C4-4B83-BB4D-8AD4641A1390}"/>
    <cellStyle name="20% - Accent5 2 4 2 3" xfId="11328" xr:uid="{61FB9520-E2BA-47F8-8474-2788C5539730}"/>
    <cellStyle name="20% - Accent5 2 4 2 4" xfId="19776" xr:uid="{6A7A70A6-429F-4D1B-9E6C-D9B03CD7E0B5}"/>
    <cellStyle name="20% - Accent5 2 4 3" xfId="4951" xr:uid="{00000000-0005-0000-0000-0000C2020000}"/>
    <cellStyle name="20% - Accent5 2 4 3 2" xfId="13401" xr:uid="{B637FCD6-50A1-4713-A436-83F1419F770B}"/>
    <cellStyle name="20% - Accent5 2 4 3 3" xfId="21848" xr:uid="{700E6B59-C846-453C-8970-9E4ECDC17597}"/>
    <cellStyle name="20% - Accent5 2 4 4" xfId="9183" xr:uid="{DF16A1D9-2852-4E93-ACBB-E0353A216F72}"/>
    <cellStyle name="20% - Accent5 2 4 5" xfId="17631" xr:uid="{8FAD7117-F9D9-4F4C-B9AD-AEE1AB70BB3D}"/>
    <cellStyle name="20% - Accent5 2 5" xfId="1056" xr:uid="{00000000-0005-0000-0000-0000C3020000}"/>
    <cellStyle name="20% - Accent5 2 5 2" xfId="3287" xr:uid="{00000000-0005-0000-0000-0000C4020000}"/>
    <cellStyle name="20% - Accent5 2 5 2 2" xfId="7509" xr:uid="{00000000-0005-0000-0000-0000C5020000}"/>
    <cellStyle name="20% - Accent5 2 5 2 2 2" xfId="15959" xr:uid="{AFC0BC55-89EA-420A-9FAE-8BDEA114E59C}"/>
    <cellStyle name="20% - Accent5 2 5 2 2 3" xfId="24406" xr:uid="{99EBCC78-2E22-4295-A079-4A0F20726937}"/>
    <cellStyle name="20% - Accent5 2 5 2 3" xfId="11741" xr:uid="{81D267A5-5A9B-4670-954D-B047371CF67F}"/>
    <cellStyle name="20% - Accent5 2 5 2 4" xfId="20189" xr:uid="{B0E030A8-DDF4-47BB-936B-8B67DB07827E}"/>
    <cellStyle name="20% - Accent5 2 5 3" xfId="5364" xr:uid="{00000000-0005-0000-0000-0000C6020000}"/>
    <cellStyle name="20% - Accent5 2 5 3 2" xfId="13814" xr:uid="{20B5347B-C153-4187-8E3D-0FE4A9BC4699}"/>
    <cellStyle name="20% - Accent5 2 5 3 3" xfId="22261" xr:uid="{84300587-C247-4B93-AD10-FBFEA25FB7AC}"/>
    <cellStyle name="20% - Accent5 2 5 4" xfId="9596" xr:uid="{C96E5228-7513-4BB2-BF22-BC4206CB9B02}"/>
    <cellStyle name="20% - Accent5 2 5 5" xfId="18044" xr:uid="{47D00E1A-889F-45B3-91C4-FB968FA09939}"/>
    <cellStyle name="20% - Accent5 2 6" xfId="1470" xr:uid="{00000000-0005-0000-0000-0000C7020000}"/>
    <cellStyle name="20% - Accent5 2 6 2" xfId="3700" xr:uid="{00000000-0005-0000-0000-0000C8020000}"/>
    <cellStyle name="20% - Accent5 2 6 2 2" xfId="7922" xr:uid="{00000000-0005-0000-0000-0000C9020000}"/>
    <cellStyle name="20% - Accent5 2 6 2 2 2" xfId="16372" xr:uid="{82FA9E81-8525-4125-ABC6-A391958CECB3}"/>
    <cellStyle name="20% - Accent5 2 6 2 2 3" xfId="24819" xr:uid="{D881EEA8-BE84-44AE-8E13-0FB177637B7A}"/>
    <cellStyle name="20% - Accent5 2 6 2 3" xfId="12154" xr:uid="{B415B503-B603-4471-B321-71F43AB8711B}"/>
    <cellStyle name="20% - Accent5 2 6 2 4" xfId="20602" xr:uid="{C4066CD2-8E7A-4B39-B04F-439FB900B79B}"/>
    <cellStyle name="20% - Accent5 2 6 3" xfId="5777" xr:uid="{00000000-0005-0000-0000-0000CA020000}"/>
    <cellStyle name="20% - Accent5 2 6 3 2" xfId="14227" xr:uid="{25033C03-19AC-4A80-86A2-5D0CD7ED775D}"/>
    <cellStyle name="20% - Accent5 2 6 3 3" xfId="22674" xr:uid="{CF485B64-8981-44EE-8668-4422A0D2E052}"/>
    <cellStyle name="20% - Accent5 2 6 4" xfId="10009" xr:uid="{29E0041B-D337-4F23-8AE8-8E34BCCBB440}"/>
    <cellStyle name="20% - Accent5 2 6 5" xfId="18457" xr:uid="{B8E8C93C-CE27-4235-A280-A75A231FD7ED}"/>
    <cellStyle name="20% - Accent5 2 7" xfId="1884" xr:uid="{00000000-0005-0000-0000-0000CB020000}"/>
    <cellStyle name="20% - Accent5 2 7 2" xfId="4113" xr:uid="{00000000-0005-0000-0000-0000CC020000}"/>
    <cellStyle name="20% - Accent5 2 7 2 2" xfId="8335" xr:uid="{00000000-0005-0000-0000-0000CD020000}"/>
    <cellStyle name="20% - Accent5 2 7 2 2 2" xfId="16785" xr:uid="{847912E6-2858-4ACF-8A5F-759E4863E9A7}"/>
    <cellStyle name="20% - Accent5 2 7 2 2 3" xfId="25232" xr:uid="{DCB817F0-BADF-4B37-9BBF-2AF8DB568E86}"/>
    <cellStyle name="20% - Accent5 2 7 2 3" xfId="12567" xr:uid="{BD280DC3-F632-41C0-B46C-5B86728718F1}"/>
    <cellStyle name="20% - Accent5 2 7 2 4" xfId="21015" xr:uid="{7EE128D9-8D4B-484B-B694-64385E45036D}"/>
    <cellStyle name="20% - Accent5 2 7 3" xfId="6190" xr:uid="{00000000-0005-0000-0000-0000CE020000}"/>
    <cellStyle name="20% - Accent5 2 7 3 2" xfId="14640" xr:uid="{374FF323-FA4D-4413-9ADA-16E175281DD5}"/>
    <cellStyle name="20% - Accent5 2 7 3 3" xfId="23087" xr:uid="{9DB4CCBA-98D8-47CC-A3D6-7066E5F209D9}"/>
    <cellStyle name="20% - Accent5 2 7 4" xfId="10422" xr:uid="{C5E1E7D1-1E0E-4A8C-B0DC-D829067AB16B}"/>
    <cellStyle name="20% - Accent5 2 7 5" xfId="18870" xr:uid="{463EFCD4-45C5-4FBA-BF79-550F134768A8}"/>
    <cellStyle name="20% - Accent5 2 8" xfId="2297" xr:uid="{00000000-0005-0000-0000-0000CF020000}"/>
    <cellStyle name="20% - Accent5 2 8 2" xfId="6603" xr:uid="{00000000-0005-0000-0000-0000D0020000}"/>
    <cellStyle name="20% - Accent5 2 8 2 2" xfId="15053" xr:uid="{93D68E98-5613-4236-8BEA-727B4BDF624C}"/>
    <cellStyle name="20% - Accent5 2 8 2 3" xfId="23500" xr:uid="{B70DB9EB-0821-4F6A-9022-21A525BC622E}"/>
    <cellStyle name="20% - Accent5 2 8 3" xfId="10835" xr:uid="{D2B08C22-F844-4F91-A3E4-67D25E124A70}"/>
    <cellStyle name="20% - Accent5 2 8 4" xfId="19283" xr:uid="{0694F072-7620-4A34-9A7E-A6AB81B377B6}"/>
    <cellStyle name="20% - Accent5 2 9" xfId="4537" xr:uid="{00000000-0005-0000-0000-0000D1020000}"/>
    <cellStyle name="20% - Accent5 2 9 2" xfId="12987" xr:uid="{10D78241-F54F-420E-A0B1-B7AB5C7A0E95}"/>
    <cellStyle name="20% - Accent5 2 9 3" xfId="21434" xr:uid="{EE48B555-6818-469C-876E-DBBAC2BEB078}"/>
    <cellStyle name="20% - Accent5 3" xfId="38" xr:uid="{00000000-0005-0000-0000-0000D2020000}"/>
    <cellStyle name="20% - Accent5 3 10" xfId="17221" xr:uid="{3346066E-3F41-4896-A3BA-CDEA14835316}"/>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2 2 2" xfId="15551" xr:uid="{F3193F07-5C1F-456E-8CF4-0141D28069D0}"/>
    <cellStyle name="20% - Accent5 3 2 2 2 2 3" xfId="23998" xr:uid="{E4332D89-9D7D-4C1C-B092-EEF284FE4EE2}"/>
    <cellStyle name="20% - Accent5 3 2 2 2 3" xfId="11333" xr:uid="{6B67E93B-EABD-489A-BBE0-80829CCEA7CA}"/>
    <cellStyle name="20% - Accent5 3 2 2 2 4" xfId="19781" xr:uid="{54E3E566-9482-4F9B-9B8A-BBDF9ED535DC}"/>
    <cellStyle name="20% - Accent5 3 2 2 3" xfId="4956" xr:uid="{00000000-0005-0000-0000-0000D7020000}"/>
    <cellStyle name="20% - Accent5 3 2 2 3 2" xfId="13406" xr:uid="{29C74A3B-0102-423E-BB32-947494DB8688}"/>
    <cellStyle name="20% - Accent5 3 2 2 3 3" xfId="21853" xr:uid="{18FC5780-CAEE-4DF2-833A-50A6ADC53DD3}"/>
    <cellStyle name="20% - Accent5 3 2 2 4" xfId="9188" xr:uid="{95CBE93E-0E14-48EE-91FB-D47B98432522}"/>
    <cellStyle name="20% - Accent5 3 2 2 5" xfId="17636" xr:uid="{0A358776-0EB4-45D4-876A-8F360F768FF3}"/>
    <cellStyle name="20% - Accent5 3 2 3" xfId="1061" xr:uid="{00000000-0005-0000-0000-0000D8020000}"/>
    <cellStyle name="20% - Accent5 3 2 3 2" xfId="3292" xr:uid="{00000000-0005-0000-0000-0000D9020000}"/>
    <cellStyle name="20% - Accent5 3 2 3 2 2" xfId="7514" xr:uid="{00000000-0005-0000-0000-0000DA020000}"/>
    <cellStyle name="20% - Accent5 3 2 3 2 2 2" xfId="15964" xr:uid="{02D7FC59-615B-4C14-A326-2E35F923AB8A}"/>
    <cellStyle name="20% - Accent5 3 2 3 2 2 3" xfId="24411" xr:uid="{1088BBB1-AB6D-4330-A701-46A39148BAF6}"/>
    <cellStyle name="20% - Accent5 3 2 3 2 3" xfId="11746" xr:uid="{ED788AD1-6465-44C8-BC5D-ADEA087BD07C}"/>
    <cellStyle name="20% - Accent5 3 2 3 2 4" xfId="20194" xr:uid="{17175FA2-92AD-4468-B6F0-456E1F93C8D1}"/>
    <cellStyle name="20% - Accent5 3 2 3 3" xfId="5369" xr:uid="{00000000-0005-0000-0000-0000DB020000}"/>
    <cellStyle name="20% - Accent5 3 2 3 3 2" xfId="13819" xr:uid="{1320FE34-2983-45F7-B506-FD87A358323F}"/>
    <cellStyle name="20% - Accent5 3 2 3 3 3" xfId="22266" xr:uid="{A4773C0C-64AE-454B-87B4-0F0BE04C0E9E}"/>
    <cellStyle name="20% - Accent5 3 2 3 4" xfId="9601" xr:uid="{3B310AE4-2A22-4A25-8D64-DCDDB5399CD7}"/>
    <cellStyle name="20% - Accent5 3 2 3 5" xfId="18049" xr:uid="{485F6370-1277-4DD1-A7DC-730148ED5953}"/>
    <cellStyle name="20% - Accent5 3 2 4" xfId="1475" xr:uid="{00000000-0005-0000-0000-0000DC020000}"/>
    <cellStyle name="20% - Accent5 3 2 4 2" xfId="3705" xr:uid="{00000000-0005-0000-0000-0000DD020000}"/>
    <cellStyle name="20% - Accent5 3 2 4 2 2" xfId="7927" xr:uid="{00000000-0005-0000-0000-0000DE020000}"/>
    <cellStyle name="20% - Accent5 3 2 4 2 2 2" xfId="16377" xr:uid="{816171F1-6E22-4624-B736-DE6960A78099}"/>
    <cellStyle name="20% - Accent5 3 2 4 2 2 3" xfId="24824" xr:uid="{4A84DA19-90AA-41D2-8AFE-790B01CEA8FD}"/>
    <cellStyle name="20% - Accent5 3 2 4 2 3" xfId="12159" xr:uid="{0DFE80EA-7FFB-481B-904F-15F030B4E87B}"/>
    <cellStyle name="20% - Accent5 3 2 4 2 4" xfId="20607" xr:uid="{C1C4FC53-DE87-4DC1-BF81-6B3F8FE43B43}"/>
    <cellStyle name="20% - Accent5 3 2 4 3" xfId="5782" xr:uid="{00000000-0005-0000-0000-0000DF020000}"/>
    <cellStyle name="20% - Accent5 3 2 4 3 2" xfId="14232" xr:uid="{EA14176F-6BD4-46E5-97AA-E814CCFFECBA}"/>
    <cellStyle name="20% - Accent5 3 2 4 3 3" xfId="22679" xr:uid="{E92B0F45-B14E-40EA-8671-9F70D713C50A}"/>
    <cellStyle name="20% - Accent5 3 2 4 4" xfId="10014" xr:uid="{BC1EDC65-470D-43A7-B54A-9FB21D87A7B8}"/>
    <cellStyle name="20% - Accent5 3 2 4 5" xfId="18462" xr:uid="{64D2F0D0-7320-4726-A9C6-C6ADB0FCE485}"/>
    <cellStyle name="20% - Accent5 3 2 5" xfId="1889" xr:uid="{00000000-0005-0000-0000-0000E0020000}"/>
    <cellStyle name="20% - Accent5 3 2 5 2" xfId="4118" xr:uid="{00000000-0005-0000-0000-0000E1020000}"/>
    <cellStyle name="20% - Accent5 3 2 5 2 2" xfId="8340" xr:uid="{00000000-0005-0000-0000-0000E2020000}"/>
    <cellStyle name="20% - Accent5 3 2 5 2 2 2" xfId="16790" xr:uid="{4FE42DC2-BBF2-4CE8-9E3A-C13F70C5DA14}"/>
    <cellStyle name="20% - Accent5 3 2 5 2 2 3" xfId="25237" xr:uid="{69C2820A-E3B4-41FD-942A-297B4DA5CF43}"/>
    <cellStyle name="20% - Accent5 3 2 5 2 3" xfId="12572" xr:uid="{149542FB-EDD9-46A5-A8F2-116ECB876650}"/>
    <cellStyle name="20% - Accent5 3 2 5 2 4" xfId="21020" xr:uid="{69A86FB3-DB46-49F3-A2E5-A1761C547601}"/>
    <cellStyle name="20% - Accent5 3 2 5 3" xfId="6195" xr:uid="{00000000-0005-0000-0000-0000E3020000}"/>
    <cellStyle name="20% - Accent5 3 2 5 3 2" xfId="14645" xr:uid="{8ED182F6-63EA-4D68-ACA0-7498A9AC66AD}"/>
    <cellStyle name="20% - Accent5 3 2 5 3 3" xfId="23092" xr:uid="{58091C4A-F96E-44BD-95A1-957BFE34E278}"/>
    <cellStyle name="20% - Accent5 3 2 5 4" xfId="10427" xr:uid="{E2D21B6C-E7A7-46FD-A1FE-3576219D0BC3}"/>
    <cellStyle name="20% - Accent5 3 2 5 5" xfId="18875" xr:uid="{E626CEC8-723A-4A73-9E49-CED0C3249ADA}"/>
    <cellStyle name="20% - Accent5 3 2 6" xfId="2302" xr:uid="{00000000-0005-0000-0000-0000E4020000}"/>
    <cellStyle name="20% - Accent5 3 2 6 2" xfId="6608" xr:uid="{00000000-0005-0000-0000-0000E5020000}"/>
    <cellStyle name="20% - Accent5 3 2 6 2 2" xfId="15058" xr:uid="{43D3229C-BB9A-43CE-B7C3-FE9355649C5A}"/>
    <cellStyle name="20% - Accent5 3 2 6 2 3" xfId="23505" xr:uid="{5A338E66-4A58-4AC7-B03B-54C7D2177F6C}"/>
    <cellStyle name="20% - Accent5 3 2 6 3" xfId="10840" xr:uid="{75CEB23C-0E1E-4916-8195-4A1620DE1711}"/>
    <cellStyle name="20% - Accent5 3 2 6 4" xfId="19288" xr:uid="{871A7723-1A87-4836-9BF6-5D1B47F0EE90}"/>
    <cellStyle name="20% - Accent5 3 2 7" xfId="4542" xr:uid="{00000000-0005-0000-0000-0000E6020000}"/>
    <cellStyle name="20% - Accent5 3 2 7 2" xfId="12992" xr:uid="{1C6B07C2-DE59-4AF4-85B4-6C07DC67A444}"/>
    <cellStyle name="20% - Accent5 3 2 7 3" xfId="21439" xr:uid="{B16AA549-CA7D-4442-9508-942A3C129AD0}"/>
    <cellStyle name="20% - Accent5 3 2 8" xfId="8774" xr:uid="{DB09B4D2-9E99-44AA-9FA4-875333DBB952}"/>
    <cellStyle name="20% - Accent5 3 2 9" xfId="17222" xr:uid="{14C00D00-7FC0-4FDD-B660-4DB01D6A1004}"/>
    <cellStyle name="20% - Accent5 3 3" xfId="607" xr:uid="{00000000-0005-0000-0000-0000E7020000}"/>
    <cellStyle name="20% - Accent5 3 3 2" xfId="2878" xr:uid="{00000000-0005-0000-0000-0000E8020000}"/>
    <cellStyle name="20% - Accent5 3 3 2 2" xfId="7100" xr:uid="{00000000-0005-0000-0000-0000E9020000}"/>
    <cellStyle name="20% - Accent5 3 3 2 2 2" xfId="15550" xr:uid="{9F33CFEB-E45A-4599-B8B5-2EBDF9EE34A0}"/>
    <cellStyle name="20% - Accent5 3 3 2 2 3" xfId="23997" xr:uid="{C12E3307-0769-4899-ABBE-30C96FD77A7B}"/>
    <cellStyle name="20% - Accent5 3 3 2 3" xfId="11332" xr:uid="{CBED502F-239C-4C1E-945E-CB64FB66929E}"/>
    <cellStyle name="20% - Accent5 3 3 2 4" xfId="19780" xr:uid="{B8022A2C-72CA-4B79-B98A-2C30BC1496E5}"/>
    <cellStyle name="20% - Accent5 3 3 3" xfId="4955" xr:uid="{00000000-0005-0000-0000-0000EA020000}"/>
    <cellStyle name="20% - Accent5 3 3 3 2" xfId="13405" xr:uid="{E9F739AB-2C64-4C68-9425-6E77FB4583F3}"/>
    <cellStyle name="20% - Accent5 3 3 3 3" xfId="21852" xr:uid="{D49A8425-BCCE-4ABF-9C4A-56B57B1FDD26}"/>
    <cellStyle name="20% - Accent5 3 3 4" xfId="9187" xr:uid="{112134C8-2B27-48D4-83AC-6FD9620D5674}"/>
    <cellStyle name="20% - Accent5 3 3 5" xfId="17635" xr:uid="{AED58B05-6B3A-4B06-96AA-B164A1E11C1B}"/>
    <cellStyle name="20% - Accent5 3 4" xfId="1060" xr:uid="{00000000-0005-0000-0000-0000EB020000}"/>
    <cellStyle name="20% - Accent5 3 4 2" xfId="3291" xr:uid="{00000000-0005-0000-0000-0000EC020000}"/>
    <cellStyle name="20% - Accent5 3 4 2 2" xfId="7513" xr:uid="{00000000-0005-0000-0000-0000ED020000}"/>
    <cellStyle name="20% - Accent5 3 4 2 2 2" xfId="15963" xr:uid="{38F9D086-6E45-439A-93AD-C2CB469FAC4D}"/>
    <cellStyle name="20% - Accent5 3 4 2 2 3" xfId="24410" xr:uid="{4F2D1FD7-60A7-429B-B206-F86C32F9EEE8}"/>
    <cellStyle name="20% - Accent5 3 4 2 3" xfId="11745" xr:uid="{981C1DE9-8504-443D-A6F1-71A262B57CCF}"/>
    <cellStyle name="20% - Accent5 3 4 2 4" xfId="20193" xr:uid="{1FE13C63-1F75-4A05-A94B-C467B5250941}"/>
    <cellStyle name="20% - Accent5 3 4 3" xfId="5368" xr:uid="{00000000-0005-0000-0000-0000EE020000}"/>
    <cellStyle name="20% - Accent5 3 4 3 2" xfId="13818" xr:uid="{865E94CB-2BD8-4253-A845-842F6DFF5EBE}"/>
    <cellStyle name="20% - Accent5 3 4 3 3" xfId="22265" xr:uid="{625D4F60-59F7-46D0-AF6A-F19ABECDEEC9}"/>
    <cellStyle name="20% - Accent5 3 4 4" xfId="9600" xr:uid="{4E7B4E9A-2D40-42DE-9411-C6321F56749C}"/>
    <cellStyle name="20% - Accent5 3 4 5" xfId="18048" xr:uid="{2662B62D-A9BF-4493-BE22-4F9244EAD9E7}"/>
    <cellStyle name="20% - Accent5 3 5" xfId="1474" xr:uid="{00000000-0005-0000-0000-0000EF020000}"/>
    <cellStyle name="20% - Accent5 3 5 2" xfId="3704" xr:uid="{00000000-0005-0000-0000-0000F0020000}"/>
    <cellStyle name="20% - Accent5 3 5 2 2" xfId="7926" xr:uid="{00000000-0005-0000-0000-0000F1020000}"/>
    <cellStyle name="20% - Accent5 3 5 2 2 2" xfId="16376" xr:uid="{1B9D00C0-DFC4-4216-AC62-B2EE414DA673}"/>
    <cellStyle name="20% - Accent5 3 5 2 2 3" xfId="24823" xr:uid="{B193482C-8112-49D8-8270-86860CCB3271}"/>
    <cellStyle name="20% - Accent5 3 5 2 3" xfId="12158" xr:uid="{5EE817FC-6245-409A-B4F9-2D0A6944CA01}"/>
    <cellStyle name="20% - Accent5 3 5 2 4" xfId="20606" xr:uid="{AC461250-85F3-481E-886F-13580FE609B8}"/>
    <cellStyle name="20% - Accent5 3 5 3" xfId="5781" xr:uid="{00000000-0005-0000-0000-0000F2020000}"/>
    <cellStyle name="20% - Accent5 3 5 3 2" xfId="14231" xr:uid="{D4EA13FA-F130-44A3-A57B-034ECC257A22}"/>
    <cellStyle name="20% - Accent5 3 5 3 3" xfId="22678" xr:uid="{1D9E52E0-31B3-4CBF-9A84-F26CAEF8BF0A}"/>
    <cellStyle name="20% - Accent5 3 5 4" xfId="10013" xr:uid="{4E128261-7931-4951-8362-AACAC9454998}"/>
    <cellStyle name="20% - Accent5 3 5 5" xfId="18461" xr:uid="{68F8F5A9-D4DD-4120-AC25-F7E4CB10D90E}"/>
    <cellStyle name="20% - Accent5 3 6" xfId="1888" xr:uid="{00000000-0005-0000-0000-0000F3020000}"/>
    <cellStyle name="20% - Accent5 3 6 2" xfId="4117" xr:uid="{00000000-0005-0000-0000-0000F4020000}"/>
    <cellStyle name="20% - Accent5 3 6 2 2" xfId="8339" xr:uid="{00000000-0005-0000-0000-0000F5020000}"/>
    <cellStyle name="20% - Accent5 3 6 2 2 2" xfId="16789" xr:uid="{E28906B6-3CAB-4613-A861-AFA5FAFDC932}"/>
    <cellStyle name="20% - Accent5 3 6 2 2 3" xfId="25236" xr:uid="{1EB25CB0-7950-4CD6-B01B-9300C03EA238}"/>
    <cellStyle name="20% - Accent5 3 6 2 3" xfId="12571" xr:uid="{9B006A1D-CFA8-45C5-BF82-EB22B8E6AA54}"/>
    <cellStyle name="20% - Accent5 3 6 2 4" xfId="21019" xr:uid="{87D7E61A-768B-4406-A840-7395C7E3D187}"/>
    <cellStyle name="20% - Accent5 3 6 3" xfId="6194" xr:uid="{00000000-0005-0000-0000-0000F6020000}"/>
    <cellStyle name="20% - Accent5 3 6 3 2" xfId="14644" xr:uid="{DC95B1A4-FAB6-446C-9945-1F2C01C57747}"/>
    <cellStyle name="20% - Accent5 3 6 3 3" xfId="23091" xr:uid="{00AD69A0-1129-4813-BED6-0755011828A9}"/>
    <cellStyle name="20% - Accent5 3 6 4" xfId="10426" xr:uid="{6C3AFC8B-9394-4A9A-A3AE-D836ACAB03B2}"/>
    <cellStyle name="20% - Accent5 3 6 5" xfId="18874" xr:uid="{7E7EA91D-293B-4E91-B576-DD99D16B9170}"/>
    <cellStyle name="20% - Accent5 3 7" xfId="2301" xr:uid="{00000000-0005-0000-0000-0000F7020000}"/>
    <cellStyle name="20% - Accent5 3 7 2" xfId="6607" xr:uid="{00000000-0005-0000-0000-0000F8020000}"/>
    <cellStyle name="20% - Accent5 3 7 2 2" xfId="15057" xr:uid="{CC56F438-CF76-4693-AC73-6802A4CA40F6}"/>
    <cellStyle name="20% - Accent5 3 7 2 3" xfId="23504" xr:uid="{412C0C8A-4204-46BF-87F1-1955CBC565E2}"/>
    <cellStyle name="20% - Accent5 3 7 3" xfId="10839" xr:uid="{A8C11334-31F7-49D3-8EDD-9D75324DF252}"/>
    <cellStyle name="20% - Accent5 3 7 4" xfId="19287" xr:uid="{54DC0DEE-276E-4438-B628-D748445E8108}"/>
    <cellStyle name="20% - Accent5 3 8" xfId="4541" xr:uid="{00000000-0005-0000-0000-0000F9020000}"/>
    <cellStyle name="20% - Accent5 3 8 2" xfId="12991" xr:uid="{B1FAE01F-2ACB-4D2F-A19B-280E0AB2E8BB}"/>
    <cellStyle name="20% - Accent5 3 8 3" xfId="21438" xr:uid="{8C633360-AD18-46F7-AF97-942905965C67}"/>
    <cellStyle name="20% - Accent5 3 9" xfId="8773" xr:uid="{CE6FC6A3-D14E-4AA5-A175-F03F755184C4}"/>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2 2 2" xfId="15552" xr:uid="{954288EA-5497-4775-B170-2DAB6B5C4474}"/>
    <cellStyle name="20% - Accent5 4 2 2 2 3" xfId="23999" xr:uid="{D1120EE9-61F0-4A1C-885C-CEC5B11E5783}"/>
    <cellStyle name="20% - Accent5 4 2 2 3" xfId="11334" xr:uid="{C3F3B0E3-AD71-4025-AF59-1ECDBFC82E5B}"/>
    <cellStyle name="20% - Accent5 4 2 2 4" xfId="19782" xr:uid="{C68AE498-D07A-4E74-B885-D47613A1BB5C}"/>
    <cellStyle name="20% - Accent5 4 2 3" xfId="4957" xr:uid="{00000000-0005-0000-0000-0000FE020000}"/>
    <cellStyle name="20% - Accent5 4 2 3 2" xfId="13407" xr:uid="{40A0CFD3-AEC9-4BCE-9A7E-0D188C6CB733}"/>
    <cellStyle name="20% - Accent5 4 2 3 3" xfId="21854" xr:uid="{4A2B828C-5F96-4979-99B9-B0309FB2566D}"/>
    <cellStyle name="20% - Accent5 4 2 4" xfId="9189" xr:uid="{6801A013-23F8-4F56-AF8E-2DA223C11EE6}"/>
    <cellStyle name="20% - Accent5 4 2 5" xfId="17637" xr:uid="{608B8A41-0672-4F3B-8BAD-FAA42ECB7E6E}"/>
    <cellStyle name="20% - Accent5 4 3" xfId="1062" xr:uid="{00000000-0005-0000-0000-0000FF020000}"/>
    <cellStyle name="20% - Accent5 4 3 2" xfId="3293" xr:uid="{00000000-0005-0000-0000-000000030000}"/>
    <cellStyle name="20% - Accent5 4 3 2 2" xfId="7515" xr:uid="{00000000-0005-0000-0000-000001030000}"/>
    <cellStyle name="20% - Accent5 4 3 2 2 2" xfId="15965" xr:uid="{CAE26F31-6360-44C2-AB05-0595AE124C3C}"/>
    <cellStyle name="20% - Accent5 4 3 2 2 3" xfId="24412" xr:uid="{27EADE3A-FD5B-4AFC-897D-B16EFBEF7ACC}"/>
    <cellStyle name="20% - Accent5 4 3 2 3" xfId="11747" xr:uid="{54954CA2-F31F-4191-B439-BD319D46790C}"/>
    <cellStyle name="20% - Accent5 4 3 2 4" xfId="20195" xr:uid="{66C9B525-07B9-45FD-B0EC-6CC83DDB7D61}"/>
    <cellStyle name="20% - Accent5 4 3 3" xfId="5370" xr:uid="{00000000-0005-0000-0000-000002030000}"/>
    <cellStyle name="20% - Accent5 4 3 3 2" xfId="13820" xr:uid="{5E3B211D-0329-4907-9E9F-3C1058FF71B6}"/>
    <cellStyle name="20% - Accent5 4 3 3 3" xfId="22267" xr:uid="{CEEC5C84-F0E6-44E2-9B34-71C2B587A586}"/>
    <cellStyle name="20% - Accent5 4 3 4" xfId="9602" xr:uid="{7B434DC3-8319-4951-B1D9-5334F5AEBF94}"/>
    <cellStyle name="20% - Accent5 4 3 5" xfId="18050" xr:uid="{983A5E7C-35EA-4EE6-BB03-46DDFAF39626}"/>
    <cellStyle name="20% - Accent5 4 4" xfId="1476" xr:uid="{00000000-0005-0000-0000-000003030000}"/>
    <cellStyle name="20% - Accent5 4 4 2" xfId="3706" xr:uid="{00000000-0005-0000-0000-000004030000}"/>
    <cellStyle name="20% - Accent5 4 4 2 2" xfId="7928" xr:uid="{00000000-0005-0000-0000-000005030000}"/>
    <cellStyle name="20% - Accent5 4 4 2 2 2" xfId="16378" xr:uid="{8AE2236B-7B2F-4A41-A6BB-B24735A4A45A}"/>
    <cellStyle name="20% - Accent5 4 4 2 2 3" xfId="24825" xr:uid="{7C3884B8-A5D3-407C-BEDE-4393DEB3A832}"/>
    <cellStyle name="20% - Accent5 4 4 2 3" xfId="12160" xr:uid="{37ECF076-3638-45D7-B46C-71B38ED12F69}"/>
    <cellStyle name="20% - Accent5 4 4 2 4" xfId="20608" xr:uid="{11D2A7A6-C3DF-420C-B1C6-A83BF861B13E}"/>
    <cellStyle name="20% - Accent5 4 4 3" xfId="5783" xr:uid="{00000000-0005-0000-0000-000006030000}"/>
    <cellStyle name="20% - Accent5 4 4 3 2" xfId="14233" xr:uid="{AB2ECC17-627D-40E2-B715-B63EFA6384B9}"/>
    <cellStyle name="20% - Accent5 4 4 3 3" xfId="22680" xr:uid="{1654603F-09E1-4E1B-A304-612F9304E8E7}"/>
    <cellStyle name="20% - Accent5 4 4 4" xfId="10015" xr:uid="{AFD2C967-3BCA-45BF-8DC6-59CCCC962C57}"/>
    <cellStyle name="20% - Accent5 4 4 5" xfId="18463" xr:uid="{F7D26513-352E-4CC3-B4C7-12DD754CE755}"/>
    <cellStyle name="20% - Accent5 4 5" xfId="1890" xr:uid="{00000000-0005-0000-0000-000007030000}"/>
    <cellStyle name="20% - Accent5 4 5 2" xfId="4119" xr:uid="{00000000-0005-0000-0000-000008030000}"/>
    <cellStyle name="20% - Accent5 4 5 2 2" xfId="8341" xr:uid="{00000000-0005-0000-0000-000009030000}"/>
    <cellStyle name="20% - Accent5 4 5 2 2 2" xfId="16791" xr:uid="{8FDFA440-C761-44D7-8092-7FEC8BAD5367}"/>
    <cellStyle name="20% - Accent5 4 5 2 2 3" xfId="25238" xr:uid="{67335873-B222-4B59-9835-B584BE229A8D}"/>
    <cellStyle name="20% - Accent5 4 5 2 3" xfId="12573" xr:uid="{48E8ACD0-7B60-4F5E-950F-2245AF644638}"/>
    <cellStyle name="20% - Accent5 4 5 2 4" xfId="21021" xr:uid="{9A22514A-50D2-4F55-B576-E850DBA0276F}"/>
    <cellStyle name="20% - Accent5 4 5 3" xfId="6196" xr:uid="{00000000-0005-0000-0000-00000A030000}"/>
    <cellStyle name="20% - Accent5 4 5 3 2" xfId="14646" xr:uid="{F0C9E2A6-DA49-4535-8FE3-50675C5B9DC6}"/>
    <cellStyle name="20% - Accent5 4 5 3 3" xfId="23093" xr:uid="{92AC9144-0D32-465D-B907-3B6253A5B422}"/>
    <cellStyle name="20% - Accent5 4 5 4" xfId="10428" xr:uid="{EC873338-193D-4461-90CB-DF26393FE146}"/>
    <cellStyle name="20% - Accent5 4 5 5" xfId="18876" xr:uid="{D5F9316B-E8AF-49F8-B882-6AEABBF4E741}"/>
    <cellStyle name="20% - Accent5 4 6" xfId="2303" xr:uid="{00000000-0005-0000-0000-00000B030000}"/>
    <cellStyle name="20% - Accent5 4 6 2" xfId="6609" xr:uid="{00000000-0005-0000-0000-00000C030000}"/>
    <cellStyle name="20% - Accent5 4 6 2 2" xfId="15059" xr:uid="{565A5038-48A4-4E63-9DA8-1CB0A8CD21CA}"/>
    <cellStyle name="20% - Accent5 4 6 2 3" xfId="23506" xr:uid="{2EAA67D4-C392-4B7B-921A-62B6827A1B6F}"/>
    <cellStyle name="20% - Accent5 4 6 3" xfId="10841" xr:uid="{979B3D72-A6CB-424F-8FF5-7D5319C78377}"/>
    <cellStyle name="20% - Accent5 4 6 4" xfId="19289" xr:uid="{7E6874F2-5450-413D-B742-891A43AD0129}"/>
    <cellStyle name="20% - Accent5 4 7" xfId="4543" xr:uid="{00000000-0005-0000-0000-00000D030000}"/>
    <cellStyle name="20% - Accent5 4 7 2" xfId="12993" xr:uid="{C57E7E26-AB8F-4BF2-AC6A-236D77F23CF5}"/>
    <cellStyle name="20% - Accent5 4 7 3" xfId="21440" xr:uid="{E73C17E8-1D41-43FE-B22F-A5E2E6AE4EC3}"/>
    <cellStyle name="20% - Accent5 4 8" xfId="8775" xr:uid="{0D38DE2A-6D7C-420E-AC83-74738D14210C}"/>
    <cellStyle name="20% - Accent5 4 9" xfId="17223" xr:uid="{13F22236-C1AC-459F-9A50-4119EBB009B0}"/>
    <cellStyle name="20% - Accent5 5" xfId="602" xr:uid="{00000000-0005-0000-0000-00000E030000}"/>
    <cellStyle name="20% - Accent5 5 2" xfId="2873" xr:uid="{00000000-0005-0000-0000-00000F030000}"/>
    <cellStyle name="20% - Accent5 5 2 2" xfId="7095" xr:uid="{00000000-0005-0000-0000-000010030000}"/>
    <cellStyle name="20% - Accent5 5 2 2 2" xfId="15545" xr:uid="{9DB784C4-0047-464E-9B40-30C68B1E1EED}"/>
    <cellStyle name="20% - Accent5 5 2 2 3" xfId="23992" xr:uid="{BAE95739-9468-4E9A-8BB6-3B4346B61B39}"/>
    <cellStyle name="20% - Accent5 5 2 3" xfId="11327" xr:uid="{37B51E70-56BD-43EC-A8C6-5209C6407393}"/>
    <cellStyle name="20% - Accent5 5 2 4" xfId="19775" xr:uid="{F1783A53-9810-49FE-B866-E7170EF4092B}"/>
    <cellStyle name="20% - Accent5 5 3" xfId="4950" xr:uid="{00000000-0005-0000-0000-000011030000}"/>
    <cellStyle name="20% - Accent5 5 3 2" xfId="13400" xr:uid="{4D5A60A1-8CCE-434A-98DB-8D648A432A90}"/>
    <cellStyle name="20% - Accent5 5 3 3" xfId="21847" xr:uid="{BBAF7A7F-BC72-4B8E-9506-A9A5775D157B}"/>
    <cellStyle name="20% - Accent5 5 4" xfId="9182" xr:uid="{3E2C1545-B195-4C24-B4D8-13977113C3EE}"/>
    <cellStyle name="20% - Accent5 5 5" xfId="17630" xr:uid="{1210F6A9-731B-480E-B278-BC0D9547E4FE}"/>
    <cellStyle name="20% - Accent5 6" xfId="1055" xr:uid="{00000000-0005-0000-0000-000012030000}"/>
    <cellStyle name="20% - Accent5 6 2" xfId="3286" xr:uid="{00000000-0005-0000-0000-000013030000}"/>
    <cellStyle name="20% - Accent5 6 2 2" xfId="7508" xr:uid="{00000000-0005-0000-0000-000014030000}"/>
    <cellStyle name="20% - Accent5 6 2 2 2" xfId="15958" xr:uid="{41DF110F-82BD-4668-9334-B4025F430885}"/>
    <cellStyle name="20% - Accent5 6 2 2 3" xfId="24405" xr:uid="{9742ED7A-B9E3-4BDD-A5AE-5B70BA8D1EBB}"/>
    <cellStyle name="20% - Accent5 6 2 3" xfId="11740" xr:uid="{56CA859D-12EA-4E37-83C5-F452278A3BCF}"/>
    <cellStyle name="20% - Accent5 6 2 4" xfId="20188" xr:uid="{CF053587-A3FA-4415-9F89-D626FCB6177D}"/>
    <cellStyle name="20% - Accent5 6 3" xfId="5363" xr:uid="{00000000-0005-0000-0000-000015030000}"/>
    <cellStyle name="20% - Accent5 6 3 2" xfId="13813" xr:uid="{B15683CC-F5F6-4EBF-8A88-5FB683EA23FA}"/>
    <cellStyle name="20% - Accent5 6 3 3" xfId="22260" xr:uid="{BBB3AC1A-7666-4A5E-8187-F226EF88625F}"/>
    <cellStyle name="20% - Accent5 6 4" xfId="9595" xr:uid="{865125D3-20BF-46EB-9613-BD0A891DAB3A}"/>
    <cellStyle name="20% - Accent5 6 5" xfId="18043" xr:uid="{9CD3CB6E-02E9-4D0D-A71F-BDED6485485E}"/>
    <cellStyle name="20% - Accent5 7" xfId="1469" xr:uid="{00000000-0005-0000-0000-000016030000}"/>
    <cellStyle name="20% - Accent5 7 2" xfId="3699" xr:uid="{00000000-0005-0000-0000-000017030000}"/>
    <cellStyle name="20% - Accent5 7 2 2" xfId="7921" xr:uid="{00000000-0005-0000-0000-000018030000}"/>
    <cellStyle name="20% - Accent5 7 2 2 2" xfId="16371" xr:uid="{BC4AF10B-7513-428A-96FE-83F854665A10}"/>
    <cellStyle name="20% - Accent5 7 2 2 3" xfId="24818" xr:uid="{F45CBA97-B873-4232-801B-3617DF39742F}"/>
    <cellStyle name="20% - Accent5 7 2 3" xfId="12153" xr:uid="{5832B71D-95ED-4C6B-BEE3-B3065D8924AF}"/>
    <cellStyle name="20% - Accent5 7 2 4" xfId="20601" xr:uid="{F9D6334F-BD02-4100-B1AF-5B28D90B3AAA}"/>
    <cellStyle name="20% - Accent5 7 3" xfId="5776" xr:uid="{00000000-0005-0000-0000-000019030000}"/>
    <cellStyle name="20% - Accent5 7 3 2" xfId="14226" xr:uid="{C700E3E5-C2D9-48F7-8470-390D4832C157}"/>
    <cellStyle name="20% - Accent5 7 3 3" xfId="22673" xr:uid="{3765AD23-9D2F-43E6-B7FB-93C2BE0E9155}"/>
    <cellStyle name="20% - Accent5 7 4" xfId="10008" xr:uid="{60C56B1E-1841-4502-A79C-CC146DAA55F4}"/>
    <cellStyle name="20% - Accent5 7 5" xfId="18456" xr:uid="{F3E9CD5E-2C0E-41CE-B6A0-C85568C02464}"/>
    <cellStyle name="20% - Accent5 8" xfId="1883" xr:uid="{00000000-0005-0000-0000-00001A030000}"/>
    <cellStyle name="20% - Accent5 8 2" xfId="4112" xr:uid="{00000000-0005-0000-0000-00001B030000}"/>
    <cellStyle name="20% - Accent5 8 2 2" xfId="8334" xr:uid="{00000000-0005-0000-0000-00001C030000}"/>
    <cellStyle name="20% - Accent5 8 2 2 2" xfId="16784" xr:uid="{DE51659F-2F44-4999-A1B4-9CA278A4FCCD}"/>
    <cellStyle name="20% - Accent5 8 2 2 3" xfId="25231" xr:uid="{0BDDD01C-03BF-4BFD-94DB-3714DECA98A6}"/>
    <cellStyle name="20% - Accent5 8 2 3" xfId="12566" xr:uid="{1BDDB154-B66B-480E-858F-4CD4338FFE19}"/>
    <cellStyle name="20% - Accent5 8 2 4" xfId="21014" xr:uid="{1DC32264-B748-4EA6-B6EE-E5DCA40ED01A}"/>
    <cellStyle name="20% - Accent5 8 3" xfId="6189" xr:uid="{00000000-0005-0000-0000-00001D030000}"/>
    <cellStyle name="20% - Accent5 8 3 2" xfId="14639" xr:uid="{C4E8855F-08A4-4D59-BC19-F74149174E3C}"/>
    <cellStyle name="20% - Accent5 8 3 3" xfId="23086" xr:uid="{FDE9FE73-D051-4B89-8187-4F97060FF6A7}"/>
    <cellStyle name="20% - Accent5 8 4" xfId="10421" xr:uid="{DEF4542F-7CB9-48D5-9C3A-0C7285459AD5}"/>
    <cellStyle name="20% - Accent5 8 5" xfId="18869" xr:uid="{703C84E2-0E2F-4A12-A5A5-6FD210BAED19}"/>
    <cellStyle name="20% - Accent5 9" xfId="2296" xr:uid="{00000000-0005-0000-0000-00001E030000}"/>
    <cellStyle name="20% - Accent5 9 2" xfId="6602" xr:uid="{00000000-0005-0000-0000-00001F030000}"/>
    <cellStyle name="20% - Accent5 9 2 2" xfId="15052" xr:uid="{5775C120-978E-4452-92A0-6A8B5A51DA74}"/>
    <cellStyle name="20% - Accent5 9 2 3" xfId="23499" xr:uid="{1104B702-E1A8-49D2-BEDB-6FBFE0A5CAF0}"/>
    <cellStyle name="20% - Accent5 9 3" xfId="10834" xr:uid="{94BFCF24-9925-4E24-B94F-CE1607B4A872}"/>
    <cellStyle name="20% - Accent5 9 4" xfId="19282" xr:uid="{EF45938F-1F90-4A43-BE41-4FA6BECBC803}"/>
    <cellStyle name="20% - Accent6" xfId="41" builtinId="50" customBuiltin="1"/>
    <cellStyle name="20% - Accent6 10" xfId="4544" xr:uid="{00000000-0005-0000-0000-000021030000}"/>
    <cellStyle name="20% - Accent6 10 2" xfId="12994" xr:uid="{A8DF9439-CDF5-4DF7-AB98-1A483193693F}"/>
    <cellStyle name="20% - Accent6 10 3" xfId="21441" xr:uid="{F5A9A388-F400-4A23-8D8A-78A9CC11338C}"/>
    <cellStyle name="20% - Accent6 11" xfId="8776" xr:uid="{F98952B1-DFFF-4F39-865C-D31C621F1C9C}"/>
    <cellStyle name="20% - Accent6 12" xfId="17224" xr:uid="{A193728F-4798-4D85-9D7A-2E5EAC947877}"/>
    <cellStyle name="20% - Accent6 2" xfId="42" xr:uid="{00000000-0005-0000-0000-000022030000}"/>
    <cellStyle name="20% - Accent6 2 10" xfId="8777" xr:uid="{73B6C1B7-0F35-4919-8FE1-12C47B64C1A8}"/>
    <cellStyle name="20% - Accent6 2 11" xfId="17225" xr:uid="{12EBDEAE-3E9E-4340-B7F6-8EAE79443061}"/>
    <cellStyle name="20% - Accent6 2 2" xfId="43" xr:uid="{00000000-0005-0000-0000-000023030000}"/>
    <cellStyle name="20% - Accent6 2 2 10" xfId="17226" xr:uid="{BEDA4A98-6E03-42A9-B32A-3A0138B45457}"/>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2 2 2" xfId="15556" xr:uid="{DE0F4EBA-2B42-4241-94DB-07A0DC71069B}"/>
    <cellStyle name="20% - Accent6 2 2 2 2 2 2 3" xfId="24003" xr:uid="{6E7AE4CE-FE45-4767-8633-EC21DB74DB06}"/>
    <cellStyle name="20% - Accent6 2 2 2 2 2 3" xfId="11338" xr:uid="{3A995AEA-38AD-4224-944B-ECE03A94EC64}"/>
    <cellStyle name="20% - Accent6 2 2 2 2 2 4" xfId="19786" xr:uid="{09E9C3B2-5404-46C4-BCC4-335616338549}"/>
    <cellStyle name="20% - Accent6 2 2 2 2 3" xfId="4961" xr:uid="{00000000-0005-0000-0000-000028030000}"/>
    <cellStyle name="20% - Accent6 2 2 2 2 3 2" xfId="13411" xr:uid="{9C8462A5-8948-4195-AAB6-DA7B74BA9D83}"/>
    <cellStyle name="20% - Accent6 2 2 2 2 3 3" xfId="21858" xr:uid="{F53D9D91-58AE-4A6B-A242-2AEAA9AC8732}"/>
    <cellStyle name="20% - Accent6 2 2 2 2 4" xfId="9193" xr:uid="{0C14A3E1-4FCA-446C-B2FA-C445C4789B2E}"/>
    <cellStyle name="20% - Accent6 2 2 2 2 5" xfId="17641" xr:uid="{95BF67C3-FC16-43E7-8420-CDBAA60C4DB1}"/>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2 2 2" xfId="15969" xr:uid="{85B0A051-069F-48C1-A63F-6745BD26D762}"/>
    <cellStyle name="20% - Accent6 2 2 2 3 2 2 3" xfId="24416" xr:uid="{B92D1426-07C8-4084-ABE2-2B0568C6A7CD}"/>
    <cellStyle name="20% - Accent6 2 2 2 3 2 3" xfId="11751" xr:uid="{5EDA814E-AA4C-4A57-BF7D-1A124A805509}"/>
    <cellStyle name="20% - Accent6 2 2 2 3 2 4" xfId="20199" xr:uid="{3C2A295E-AD93-4847-8921-7F72F2DA9D43}"/>
    <cellStyle name="20% - Accent6 2 2 2 3 3" xfId="5374" xr:uid="{00000000-0005-0000-0000-00002C030000}"/>
    <cellStyle name="20% - Accent6 2 2 2 3 3 2" xfId="13824" xr:uid="{9824A1AC-A9CD-4C89-AA80-A006BE673653}"/>
    <cellStyle name="20% - Accent6 2 2 2 3 3 3" xfId="22271" xr:uid="{3DC63463-E77C-47AE-8F69-D8489A22574C}"/>
    <cellStyle name="20% - Accent6 2 2 2 3 4" xfId="9606" xr:uid="{C71FF05A-C765-4386-ADE4-87DE7CC396AA}"/>
    <cellStyle name="20% - Accent6 2 2 2 3 5" xfId="18054" xr:uid="{C33D15C3-0864-4D8F-BD89-E6443897F54A}"/>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2 2 2" xfId="16382" xr:uid="{95F6CB9A-A6D9-435A-AAF0-C564633A850E}"/>
    <cellStyle name="20% - Accent6 2 2 2 4 2 2 3" xfId="24829" xr:uid="{D4A7E87F-06B3-4638-885B-162996AFD71A}"/>
    <cellStyle name="20% - Accent6 2 2 2 4 2 3" xfId="12164" xr:uid="{637F5333-5E12-4054-8F81-BAA027481580}"/>
    <cellStyle name="20% - Accent6 2 2 2 4 2 4" xfId="20612" xr:uid="{E921E826-6940-47A5-9B4A-E236A18A3A7C}"/>
    <cellStyle name="20% - Accent6 2 2 2 4 3" xfId="5787" xr:uid="{00000000-0005-0000-0000-000030030000}"/>
    <cellStyle name="20% - Accent6 2 2 2 4 3 2" xfId="14237" xr:uid="{54B78E4D-40BB-4FCB-BEDC-286534D4120A}"/>
    <cellStyle name="20% - Accent6 2 2 2 4 3 3" xfId="22684" xr:uid="{104DF2C5-0F38-4824-ABD2-531DC84B9163}"/>
    <cellStyle name="20% - Accent6 2 2 2 4 4" xfId="10019" xr:uid="{8EB8CF48-4444-4F29-A6F9-0D8B1D6C8A91}"/>
    <cellStyle name="20% - Accent6 2 2 2 4 5" xfId="18467" xr:uid="{35BA94B7-CB3E-4268-8C8E-A4953F15925D}"/>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2 2 2" xfId="16795" xr:uid="{0DAEC9FD-0F55-451B-94DB-31CC44F5FA9E}"/>
    <cellStyle name="20% - Accent6 2 2 2 5 2 2 3" xfId="25242" xr:uid="{E314A261-8F3E-4EDD-BB52-C3468AABD975}"/>
    <cellStyle name="20% - Accent6 2 2 2 5 2 3" xfId="12577" xr:uid="{0F525EC7-75FF-46BB-BDE2-91E3D5B38388}"/>
    <cellStyle name="20% - Accent6 2 2 2 5 2 4" xfId="21025" xr:uid="{4FA2C606-8749-4411-807D-5F7D721970C1}"/>
    <cellStyle name="20% - Accent6 2 2 2 5 3" xfId="6200" xr:uid="{00000000-0005-0000-0000-000034030000}"/>
    <cellStyle name="20% - Accent6 2 2 2 5 3 2" xfId="14650" xr:uid="{90632CC8-AC17-4237-BF10-24CFC96DD2AE}"/>
    <cellStyle name="20% - Accent6 2 2 2 5 3 3" xfId="23097" xr:uid="{66B2595E-20E1-4173-8732-B0C94A826F5B}"/>
    <cellStyle name="20% - Accent6 2 2 2 5 4" xfId="10432" xr:uid="{E5B0770C-CE48-4AA0-956E-5E3A181E728E}"/>
    <cellStyle name="20% - Accent6 2 2 2 5 5" xfId="18880" xr:uid="{F2B8B6EA-3A99-45C9-9E17-70EC2B86D663}"/>
    <cellStyle name="20% - Accent6 2 2 2 6" xfId="2307" xr:uid="{00000000-0005-0000-0000-000035030000}"/>
    <cellStyle name="20% - Accent6 2 2 2 6 2" xfId="6613" xr:uid="{00000000-0005-0000-0000-000036030000}"/>
    <cellStyle name="20% - Accent6 2 2 2 6 2 2" xfId="15063" xr:uid="{BE54BECD-D5BB-4475-9A13-A225FFE603FC}"/>
    <cellStyle name="20% - Accent6 2 2 2 6 2 3" xfId="23510" xr:uid="{370745A9-A4A1-44DA-A672-4C9BD2743414}"/>
    <cellStyle name="20% - Accent6 2 2 2 6 3" xfId="10845" xr:uid="{9B79C12E-4E1B-4498-BD73-276D3F9FD76D}"/>
    <cellStyle name="20% - Accent6 2 2 2 6 4" xfId="19293" xr:uid="{ED724759-68B3-4D44-9997-02E7CB4EF8C4}"/>
    <cellStyle name="20% - Accent6 2 2 2 7" xfId="4547" xr:uid="{00000000-0005-0000-0000-000037030000}"/>
    <cellStyle name="20% - Accent6 2 2 2 7 2" xfId="12997" xr:uid="{EBA11881-01A0-44F4-A0B0-63B11DB2971B}"/>
    <cellStyle name="20% - Accent6 2 2 2 7 3" xfId="21444" xr:uid="{F0D0FE34-AD3E-40CA-B17A-7C4B2FA8DC05}"/>
    <cellStyle name="20% - Accent6 2 2 2 8" xfId="8779" xr:uid="{D66FEC66-9BB2-4D4E-9F9E-F441DDB4BBF1}"/>
    <cellStyle name="20% - Accent6 2 2 2 9" xfId="17227" xr:uid="{00B7F78E-53BD-466E-B801-9D06B4F60A56}"/>
    <cellStyle name="20% - Accent6 2 2 3" xfId="612" xr:uid="{00000000-0005-0000-0000-000038030000}"/>
    <cellStyle name="20% - Accent6 2 2 3 2" xfId="2883" xr:uid="{00000000-0005-0000-0000-000039030000}"/>
    <cellStyle name="20% - Accent6 2 2 3 2 2" xfId="7105" xr:uid="{00000000-0005-0000-0000-00003A030000}"/>
    <cellStyle name="20% - Accent6 2 2 3 2 2 2" xfId="15555" xr:uid="{6AD69AFC-A528-4333-A709-A0AEF2986F21}"/>
    <cellStyle name="20% - Accent6 2 2 3 2 2 3" xfId="24002" xr:uid="{7F926D52-FA15-4183-AB61-EBF7AEB13CD8}"/>
    <cellStyle name="20% - Accent6 2 2 3 2 3" xfId="11337" xr:uid="{7352A1C8-8B15-4686-A8B0-59C76441A40E}"/>
    <cellStyle name="20% - Accent6 2 2 3 2 4" xfId="19785" xr:uid="{E6F47568-DDBE-4133-87B8-D105E23118F2}"/>
    <cellStyle name="20% - Accent6 2 2 3 3" xfId="4960" xr:uid="{00000000-0005-0000-0000-00003B030000}"/>
    <cellStyle name="20% - Accent6 2 2 3 3 2" xfId="13410" xr:uid="{189CA61B-99BA-4C37-8C57-67A1E51138A8}"/>
    <cellStyle name="20% - Accent6 2 2 3 3 3" xfId="21857" xr:uid="{75553C68-DFD3-4E76-A6D1-91D845D30DA5}"/>
    <cellStyle name="20% - Accent6 2 2 3 4" xfId="9192" xr:uid="{7DCC925C-7A13-4B08-AC1A-1A9260DEBB2D}"/>
    <cellStyle name="20% - Accent6 2 2 3 5" xfId="17640" xr:uid="{7BA30495-48EC-4A71-9A30-4BC0014BD1B1}"/>
    <cellStyle name="20% - Accent6 2 2 4" xfId="1065" xr:uid="{00000000-0005-0000-0000-00003C030000}"/>
    <cellStyle name="20% - Accent6 2 2 4 2" xfId="3296" xr:uid="{00000000-0005-0000-0000-00003D030000}"/>
    <cellStyle name="20% - Accent6 2 2 4 2 2" xfId="7518" xr:uid="{00000000-0005-0000-0000-00003E030000}"/>
    <cellStyle name="20% - Accent6 2 2 4 2 2 2" xfId="15968" xr:uid="{80FEF995-2BE7-4A89-86FF-5C0B24DC7CA1}"/>
    <cellStyle name="20% - Accent6 2 2 4 2 2 3" xfId="24415" xr:uid="{0C38CF0D-DDA5-4CDF-A64B-8CBB92FF91C8}"/>
    <cellStyle name="20% - Accent6 2 2 4 2 3" xfId="11750" xr:uid="{1F957A70-58B8-441F-86EF-AFBCAF418E23}"/>
    <cellStyle name="20% - Accent6 2 2 4 2 4" xfId="20198" xr:uid="{93DE245F-C6CB-41FC-8B47-2C23653135F4}"/>
    <cellStyle name="20% - Accent6 2 2 4 3" xfId="5373" xr:uid="{00000000-0005-0000-0000-00003F030000}"/>
    <cellStyle name="20% - Accent6 2 2 4 3 2" xfId="13823" xr:uid="{E5404675-936D-4DDF-82F8-BA43AA8E7C2F}"/>
    <cellStyle name="20% - Accent6 2 2 4 3 3" xfId="22270" xr:uid="{D45BB69F-DAD7-4927-9D70-CAD47E401B99}"/>
    <cellStyle name="20% - Accent6 2 2 4 4" xfId="9605" xr:uid="{3CEC7EF6-E86C-4615-91C2-ABFA22379B6C}"/>
    <cellStyle name="20% - Accent6 2 2 4 5" xfId="18053" xr:uid="{6EBF3E1E-5B5D-4DC6-B6F9-EC0707914617}"/>
    <cellStyle name="20% - Accent6 2 2 5" xfId="1479" xr:uid="{00000000-0005-0000-0000-000040030000}"/>
    <cellStyle name="20% - Accent6 2 2 5 2" xfId="3709" xr:uid="{00000000-0005-0000-0000-000041030000}"/>
    <cellStyle name="20% - Accent6 2 2 5 2 2" xfId="7931" xr:uid="{00000000-0005-0000-0000-000042030000}"/>
    <cellStyle name="20% - Accent6 2 2 5 2 2 2" xfId="16381" xr:uid="{8D40148E-A0B0-416B-9222-60299F1B2C03}"/>
    <cellStyle name="20% - Accent6 2 2 5 2 2 3" xfId="24828" xr:uid="{940F5229-F4FA-4CFA-BAAC-0F8B0618D5E2}"/>
    <cellStyle name="20% - Accent6 2 2 5 2 3" xfId="12163" xr:uid="{7AD4C7FF-68F0-4682-A097-E168CCAD323C}"/>
    <cellStyle name="20% - Accent6 2 2 5 2 4" xfId="20611" xr:uid="{FC6050F8-A5F3-424F-B5F1-58BDFF0C0F14}"/>
    <cellStyle name="20% - Accent6 2 2 5 3" xfId="5786" xr:uid="{00000000-0005-0000-0000-000043030000}"/>
    <cellStyle name="20% - Accent6 2 2 5 3 2" xfId="14236" xr:uid="{BCD9491F-0EBE-4FB0-8BCC-45E2027D96FD}"/>
    <cellStyle name="20% - Accent6 2 2 5 3 3" xfId="22683" xr:uid="{897EB6B0-C98C-484B-9079-EFE289ADD332}"/>
    <cellStyle name="20% - Accent6 2 2 5 4" xfId="10018" xr:uid="{76D16C47-34E9-4628-9C0E-98CE3EEEC25A}"/>
    <cellStyle name="20% - Accent6 2 2 5 5" xfId="18466" xr:uid="{8CF8CB84-A735-495F-9F20-E1E7FEC8EBD7}"/>
    <cellStyle name="20% - Accent6 2 2 6" xfId="1893" xr:uid="{00000000-0005-0000-0000-000044030000}"/>
    <cellStyle name="20% - Accent6 2 2 6 2" xfId="4122" xr:uid="{00000000-0005-0000-0000-000045030000}"/>
    <cellStyle name="20% - Accent6 2 2 6 2 2" xfId="8344" xr:uid="{00000000-0005-0000-0000-000046030000}"/>
    <cellStyle name="20% - Accent6 2 2 6 2 2 2" xfId="16794" xr:uid="{3B49F3BE-A83E-4126-B171-8DDC29298CC5}"/>
    <cellStyle name="20% - Accent6 2 2 6 2 2 3" xfId="25241" xr:uid="{8A1E451C-56A0-4884-9F2A-6F37A38DD409}"/>
    <cellStyle name="20% - Accent6 2 2 6 2 3" xfId="12576" xr:uid="{796B6944-40D3-47BC-B00E-85712155E1E8}"/>
    <cellStyle name="20% - Accent6 2 2 6 2 4" xfId="21024" xr:uid="{61A2BB94-46A3-4965-B11C-0B722CC90066}"/>
    <cellStyle name="20% - Accent6 2 2 6 3" xfId="6199" xr:uid="{00000000-0005-0000-0000-000047030000}"/>
    <cellStyle name="20% - Accent6 2 2 6 3 2" xfId="14649" xr:uid="{0EC42EE6-B3A9-46DF-961C-BC710CBE60F1}"/>
    <cellStyle name="20% - Accent6 2 2 6 3 3" xfId="23096" xr:uid="{186A86DE-95AD-4F48-8225-EA8F6D467D9D}"/>
    <cellStyle name="20% - Accent6 2 2 6 4" xfId="10431" xr:uid="{ECEAB371-6152-4CF4-9A27-B290EDD313A0}"/>
    <cellStyle name="20% - Accent6 2 2 6 5" xfId="18879" xr:uid="{00F035C5-4E1A-4B89-BF25-EC9C6163ACE0}"/>
    <cellStyle name="20% - Accent6 2 2 7" xfId="2306" xr:uid="{00000000-0005-0000-0000-000048030000}"/>
    <cellStyle name="20% - Accent6 2 2 7 2" xfId="6612" xr:uid="{00000000-0005-0000-0000-000049030000}"/>
    <cellStyle name="20% - Accent6 2 2 7 2 2" xfId="15062" xr:uid="{D39DA88B-9A8A-4516-9693-933DA1C22E8C}"/>
    <cellStyle name="20% - Accent6 2 2 7 2 3" xfId="23509" xr:uid="{43A95952-4E01-4BD4-8307-A09630E2484D}"/>
    <cellStyle name="20% - Accent6 2 2 7 3" xfId="10844" xr:uid="{5DC16CA6-79C0-4EB1-8F72-6B4CDB461841}"/>
    <cellStyle name="20% - Accent6 2 2 7 4" xfId="19292" xr:uid="{29C5AA34-145B-4D43-BA9A-58E4B4551247}"/>
    <cellStyle name="20% - Accent6 2 2 8" xfId="4546" xr:uid="{00000000-0005-0000-0000-00004A030000}"/>
    <cellStyle name="20% - Accent6 2 2 8 2" xfId="12996" xr:uid="{61C2341A-3A64-47B7-BA48-45BCB4059DB7}"/>
    <cellStyle name="20% - Accent6 2 2 8 3" xfId="21443" xr:uid="{B50F6CFE-7E7F-42AE-B40B-651B25CB07F7}"/>
    <cellStyle name="20% - Accent6 2 2 9" xfId="8778" xr:uid="{95B8D4B1-0F3A-4F94-8F3D-FD2ABA3DEF08}"/>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2 2 2" xfId="15557" xr:uid="{2E74F8C6-335E-430D-89B2-34BB6619EA90}"/>
    <cellStyle name="20% - Accent6 2 3 2 2 2 3" xfId="24004" xr:uid="{94162FBE-08A3-4020-B718-28CD9C074DAC}"/>
    <cellStyle name="20% - Accent6 2 3 2 2 3" xfId="11339" xr:uid="{71252E58-1C4B-457E-BB4F-1F162AA3C8C0}"/>
    <cellStyle name="20% - Accent6 2 3 2 2 4" xfId="19787" xr:uid="{9902A9E2-4556-42DB-BDA3-BBD51255FD0A}"/>
    <cellStyle name="20% - Accent6 2 3 2 3" xfId="4962" xr:uid="{00000000-0005-0000-0000-00004F030000}"/>
    <cellStyle name="20% - Accent6 2 3 2 3 2" xfId="13412" xr:uid="{B4C3ADE7-AF61-4F8B-9F7C-6422276D8F64}"/>
    <cellStyle name="20% - Accent6 2 3 2 3 3" xfId="21859" xr:uid="{751602EA-5BF8-4FE3-9139-DB2D4BD5377D}"/>
    <cellStyle name="20% - Accent6 2 3 2 4" xfId="9194" xr:uid="{3823E046-B34B-4F96-9D75-886473887BDE}"/>
    <cellStyle name="20% - Accent6 2 3 2 5" xfId="17642" xr:uid="{5C967CF8-7C9D-46B4-BD6B-FFCDBBB77D43}"/>
    <cellStyle name="20% - Accent6 2 3 3" xfId="1067" xr:uid="{00000000-0005-0000-0000-000050030000}"/>
    <cellStyle name="20% - Accent6 2 3 3 2" xfId="3298" xr:uid="{00000000-0005-0000-0000-000051030000}"/>
    <cellStyle name="20% - Accent6 2 3 3 2 2" xfId="7520" xr:uid="{00000000-0005-0000-0000-000052030000}"/>
    <cellStyle name="20% - Accent6 2 3 3 2 2 2" xfId="15970" xr:uid="{E0E8A927-A175-47EE-8E86-D422A8C233C1}"/>
    <cellStyle name="20% - Accent6 2 3 3 2 2 3" xfId="24417" xr:uid="{DB2E4209-176C-4545-9BF1-0BBA181DC17C}"/>
    <cellStyle name="20% - Accent6 2 3 3 2 3" xfId="11752" xr:uid="{562A526C-F63D-4070-8F81-AFD164899050}"/>
    <cellStyle name="20% - Accent6 2 3 3 2 4" xfId="20200" xr:uid="{FC50D08B-E8CD-48BD-BDE3-5961B3A44CB1}"/>
    <cellStyle name="20% - Accent6 2 3 3 3" xfId="5375" xr:uid="{00000000-0005-0000-0000-000053030000}"/>
    <cellStyle name="20% - Accent6 2 3 3 3 2" xfId="13825" xr:uid="{53B98430-D22D-4526-B71E-A431386A7A38}"/>
    <cellStyle name="20% - Accent6 2 3 3 3 3" xfId="22272" xr:uid="{4463E1B5-52D8-4F7F-A93B-283890253CDB}"/>
    <cellStyle name="20% - Accent6 2 3 3 4" xfId="9607" xr:uid="{8B864C3D-458F-481C-9953-53AC5082C41C}"/>
    <cellStyle name="20% - Accent6 2 3 3 5" xfId="18055" xr:uid="{D2C1CAEF-F38F-4CD5-AFBF-2F4FB8195B8A}"/>
    <cellStyle name="20% - Accent6 2 3 4" xfId="1481" xr:uid="{00000000-0005-0000-0000-000054030000}"/>
    <cellStyle name="20% - Accent6 2 3 4 2" xfId="3711" xr:uid="{00000000-0005-0000-0000-000055030000}"/>
    <cellStyle name="20% - Accent6 2 3 4 2 2" xfId="7933" xr:uid="{00000000-0005-0000-0000-000056030000}"/>
    <cellStyle name="20% - Accent6 2 3 4 2 2 2" xfId="16383" xr:uid="{1C5D06F6-1068-4149-913E-1A21EECA9C21}"/>
    <cellStyle name="20% - Accent6 2 3 4 2 2 3" xfId="24830" xr:uid="{9B693025-D0DB-49F9-80F6-D30DE11354AF}"/>
    <cellStyle name="20% - Accent6 2 3 4 2 3" xfId="12165" xr:uid="{346DEF08-C4ED-4B49-B000-265C901D26E9}"/>
    <cellStyle name="20% - Accent6 2 3 4 2 4" xfId="20613" xr:uid="{B4D9765E-2F43-4FE7-BA1C-5372D3F93C1E}"/>
    <cellStyle name="20% - Accent6 2 3 4 3" xfId="5788" xr:uid="{00000000-0005-0000-0000-000057030000}"/>
    <cellStyle name="20% - Accent6 2 3 4 3 2" xfId="14238" xr:uid="{5BE10179-85DA-4BE5-8FF9-360A22ACAD89}"/>
    <cellStyle name="20% - Accent6 2 3 4 3 3" xfId="22685" xr:uid="{78732878-F22C-4D6D-B709-141AD9821B6E}"/>
    <cellStyle name="20% - Accent6 2 3 4 4" xfId="10020" xr:uid="{32EA6F74-C6CF-4577-80BD-ACBCB0179B7F}"/>
    <cellStyle name="20% - Accent6 2 3 4 5" xfId="18468" xr:uid="{265DBB6A-1AD3-4DFF-8314-C882BD34FBA1}"/>
    <cellStyle name="20% - Accent6 2 3 5" xfId="1895" xr:uid="{00000000-0005-0000-0000-000058030000}"/>
    <cellStyle name="20% - Accent6 2 3 5 2" xfId="4124" xr:uid="{00000000-0005-0000-0000-000059030000}"/>
    <cellStyle name="20% - Accent6 2 3 5 2 2" xfId="8346" xr:uid="{00000000-0005-0000-0000-00005A030000}"/>
    <cellStyle name="20% - Accent6 2 3 5 2 2 2" xfId="16796" xr:uid="{11988F82-A784-4A89-8816-DCCDB4BCD29D}"/>
    <cellStyle name="20% - Accent6 2 3 5 2 2 3" xfId="25243" xr:uid="{7E571256-67E9-4638-A627-4E593558035B}"/>
    <cellStyle name="20% - Accent6 2 3 5 2 3" xfId="12578" xr:uid="{4826B5DF-4221-4349-B878-E7C97401EDB0}"/>
    <cellStyle name="20% - Accent6 2 3 5 2 4" xfId="21026" xr:uid="{CB3BDF19-9BBD-48BA-9B71-50AF19B3CD66}"/>
    <cellStyle name="20% - Accent6 2 3 5 3" xfId="6201" xr:uid="{00000000-0005-0000-0000-00005B030000}"/>
    <cellStyle name="20% - Accent6 2 3 5 3 2" xfId="14651" xr:uid="{FD4ED3F6-28F2-46D4-ADD9-DA52B219A007}"/>
    <cellStyle name="20% - Accent6 2 3 5 3 3" xfId="23098" xr:uid="{C4AB926C-CB86-49BD-93B9-65851CFA5A2A}"/>
    <cellStyle name="20% - Accent6 2 3 5 4" xfId="10433" xr:uid="{BB81B616-6296-4E77-AE42-A9C46BC3AFFB}"/>
    <cellStyle name="20% - Accent6 2 3 5 5" xfId="18881" xr:uid="{C5C8D15C-E668-4F47-B8B4-495C52DBFF0D}"/>
    <cellStyle name="20% - Accent6 2 3 6" xfId="2308" xr:uid="{00000000-0005-0000-0000-00005C030000}"/>
    <cellStyle name="20% - Accent6 2 3 6 2" xfId="6614" xr:uid="{00000000-0005-0000-0000-00005D030000}"/>
    <cellStyle name="20% - Accent6 2 3 6 2 2" xfId="15064" xr:uid="{12284549-EDA0-4866-9D73-72B72F0D7002}"/>
    <cellStyle name="20% - Accent6 2 3 6 2 3" xfId="23511" xr:uid="{4EDAAC03-2840-4FD8-9BD5-1C90D39A200A}"/>
    <cellStyle name="20% - Accent6 2 3 6 3" xfId="10846" xr:uid="{B576449C-8317-47A6-833B-BE350FF6142E}"/>
    <cellStyle name="20% - Accent6 2 3 6 4" xfId="19294" xr:uid="{66A57AC8-BAD1-4738-89EB-7CF18AD5EAD9}"/>
    <cellStyle name="20% - Accent6 2 3 7" xfId="4548" xr:uid="{00000000-0005-0000-0000-00005E030000}"/>
    <cellStyle name="20% - Accent6 2 3 7 2" xfId="12998" xr:uid="{1FE6CF81-D54C-4D67-81D0-96F8FEA1FDB5}"/>
    <cellStyle name="20% - Accent6 2 3 7 3" xfId="21445" xr:uid="{E8FA569D-7CA6-46E2-9379-213A4CB3EAAD}"/>
    <cellStyle name="20% - Accent6 2 3 8" xfId="8780" xr:uid="{5A7939FA-C4C3-4AD3-8AC6-2D48EC9FC83E}"/>
    <cellStyle name="20% - Accent6 2 3 9" xfId="17228" xr:uid="{CF1C4331-E606-4DDF-A777-5C59506665B5}"/>
    <cellStyle name="20% - Accent6 2 4" xfId="611" xr:uid="{00000000-0005-0000-0000-00005F030000}"/>
    <cellStyle name="20% - Accent6 2 4 2" xfId="2882" xr:uid="{00000000-0005-0000-0000-000060030000}"/>
    <cellStyle name="20% - Accent6 2 4 2 2" xfId="7104" xr:uid="{00000000-0005-0000-0000-000061030000}"/>
    <cellStyle name="20% - Accent6 2 4 2 2 2" xfId="15554" xr:uid="{6D619963-2CE0-4C6A-8A67-FED7AD9FB6C1}"/>
    <cellStyle name="20% - Accent6 2 4 2 2 3" xfId="24001" xr:uid="{BD74B54F-7AF4-4C6F-BB39-00C2CC4C093A}"/>
    <cellStyle name="20% - Accent6 2 4 2 3" xfId="11336" xr:uid="{55EA1C49-4470-4FF7-B59A-F2140DFCCF1E}"/>
    <cellStyle name="20% - Accent6 2 4 2 4" xfId="19784" xr:uid="{5B230EF3-AC7C-4CAE-8503-38EB3658E3C6}"/>
    <cellStyle name="20% - Accent6 2 4 3" xfId="4959" xr:uid="{00000000-0005-0000-0000-000062030000}"/>
    <cellStyle name="20% - Accent6 2 4 3 2" xfId="13409" xr:uid="{912CC15E-7BAB-49DF-8587-5D7C5384EAC7}"/>
    <cellStyle name="20% - Accent6 2 4 3 3" xfId="21856" xr:uid="{85E3C532-FEB4-4768-ABCE-C89C66B944DD}"/>
    <cellStyle name="20% - Accent6 2 4 4" xfId="9191" xr:uid="{75750C51-E3D2-4DD8-BF61-E7244DFA7452}"/>
    <cellStyle name="20% - Accent6 2 4 5" xfId="17639" xr:uid="{A9FA8960-D338-479D-A77A-8D32CF734F08}"/>
    <cellStyle name="20% - Accent6 2 5" xfId="1064" xr:uid="{00000000-0005-0000-0000-000063030000}"/>
    <cellStyle name="20% - Accent6 2 5 2" xfId="3295" xr:uid="{00000000-0005-0000-0000-000064030000}"/>
    <cellStyle name="20% - Accent6 2 5 2 2" xfId="7517" xr:uid="{00000000-0005-0000-0000-000065030000}"/>
    <cellStyle name="20% - Accent6 2 5 2 2 2" xfId="15967" xr:uid="{34ED06A6-A8E3-47C8-A56F-985F666710D8}"/>
    <cellStyle name="20% - Accent6 2 5 2 2 3" xfId="24414" xr:uid="{7C8D7E23-EF67-43AB-8FEB-035E47F9CA90}"/>
    <cellStyle name="20% - Accent6 2 5 2 3" xfId="11749" xr:uid="{E7F1B8DE-7649-42D2-B8E7-8FB82ACD7CE9}"/>
    <cellStyle name="20% - Accent6 2 5 2 4" xfId="20197" xr:uid="{4899DDBF-6447-40C4-BAC2-8E43FFB34F35}"/>
    <cellStyle name="20% - Accent6 2 5 3" xfId="5372" xr:uid="{00000000-0005-0000-0000-000066030000}"/>
    <cellStyle name="20% - Accent6 2 5 3 2" xfId="13822" xr:uid="{00EB5213-8F8E-400D-BD82-B58EFFD1AC7E}"/>
    <cellStyle name="20% - Accent6 2 5 3 3" xfId="22269" xr:uid="{1DF0D5CA-2948-438A-9B9A-2806F81F6919}"/>
    <cellStyle name="20% - Accent6 2 5 4" xfId="9604" xr:uid="{5403C2CD-CA11-4F70-9E40-BCEDC3D25A1D}"/>
    <cellStyle name="20% - Accent6 2 5 5" xfId="18052" xr:uid="{1E765539-3860-49AB-A41C-4D3D32004C08}"/>
    <cellStyle name="20% - Accent6 2 6" xfId="1478" xr:uid="{00000000-0005-0000-0000-000067030000}"/>
    <cellStyle name="20% - Accent6 2 6 2" xfId="3708" xr:uid="{00000000-0005-0000-0000-000068030000}"/>
    <cellStyle name="20% - Accent6 2 6 2 2" xfId="7930" xr:uid="{00000000-0005-0000-0000-000069030000}"/>
    <cellStyle name="20% - Accent6 2 6 2 2 2" xfId="16380" xr:uid="{A0D418C2-41D9-41C7-8016-BC1E5802280B}"/>
    <cellStyle name="20% - Accent6 2 6 2 2 3" xfId="24827" xr:uid="{748F5A30-B2BC-483D-935D-7CCA3EBBAF78}"/>
    <cellStyle name="20% - Accent6 2 6 2 3" xfId="12162" xr:uid="{8A6C2EF0-F166-49CE-BC8C-CEE3565E872E}"/>
    <cellStyle name="20% - Accent6 2 6 2 4" xfId="20610" xr:uid="{9CD436D1-F6F8-482D-9704-3FB944FCB3FA}"/>
    <cellStyle name="20% - Accent6 2 6 3" xfId="5785" xr:uid="{00000000-0005-0000-0000-00006A030000}"/>
    <cellStyle name="20% - Accent6 2 6 3 2" xfId="14235" xr:uid="{8597906A-B523-4DE5-A2B9-3CBDE1B8FAF1}"/>
    <cellStyle name="20% - Accent6 2 6 3 3" xfId="22682" xr:uid="{5D0FBFD2-F909-45B3-B4B6-D508CD5A511C}"/>
    <cellStyle name="20% - Accent6 2 6 4" xfId="10017" xr:uid="{74B942BB-B14F-411E-BA4A-80D125EB1E0A}"/>
    <cellStyle name="20% - Accent6 2 6 5" xfId="18465" xr:uid="{0EF6EFD7-B087-4A2D-AF73-AE8ADC9D99BB}"/>
    <cellStyle name="20% - Accent6 2 7" xfId="1892" xr:uid="{00000000-0005-0000-0000-00006B030000}"/>
    <cellStyle name="20% - Accent6 2 7 2" xfId="4121" xr:uid="{00000000-0005-0000-0000-00006C030000}"/>
    <cellStyle name="20% - Accent6 2 7 2 2" xfId="8343" xr:uid="{00000000-0005-0000-0000-00006D030000}"/>
    <cellStyle name="20% - Accent6 2 7 2 2 2" xfId="16793" xr:uid="{5B3189F7-EE7E-463A-9DA5-938825F19EF6}"/>
    <cellStyle name="20% - Accent6 2 7 2 2 3" xfId="25240" xr:uid="{7DC4145F-BB36-42D2-BC9C-608A6481B0AC}"/>
    <cellStyle name="20% - Accent6 2 7 2 3" xfId="12575" xr:uid="{3295B5B0-1A07-44A3-8837-81C662C49BB6}"/>
    <cellStyle name="20% - Accent6 2 7 2 4" xfId="21023" xr:uid="{B801BEA3-CC0E-4BF1-B39D-D892E6FDA1BF}"/>
    <cellStyle name="20% - Accent6 2 7 3" xfId="6198" xr:uid="{00000000-0005-0000-0000-00006E030000}"/>
    <cellStyle name="20% - Accent6 2 7 3 2" xfId="14648" xr:uid="{DF4F1E8A-EE3F-44DF-AF4B-38861BF9B94A}"/>
    <cellStyle name="20% - Accent6 2 7 3 3" xfId="23095" xr:uid="{477B446B-004E-45AD-8688-DA5283632C60}"/>
    <cellStyle name="20% - Accent6 2 7 4" xfId="10430" xr:uid="{C4EE1053-3F0C-4785-A14C-12C230A77595}"/>
    <cellStyle name="20% - Accent6 2 7 5" xfId="18878" xr:uid="{0251EB85-C3EB-4003-8120-EDAE6853C66D}"/>
    <cellStyle name="20% - Accent6 2 8" xfId="2305" xr:uid="{00000000-0005-0000-0000-00006F030000}"/>
    <cellStyle name="20% - Accent6 2 8 2" xfId="6611" xr:uid="{00000000-0005-0000-0000-000070030000}"/>
    <cellStyle name="20% - Accent6 2 8 2 2" xfId="15061" xr:uid="{4FF1F26A-C26A-4B13-A94A-CC2C4D23E58E}"/>
    <cellStyle name="20% - Accent6 2 8 2 3" xfId="23508" xr:uid="{CD16894B-E1C0-45AB-8B9F-79EA922022E9}"/>
    <cellStyle name="20% - Accent6 2 8 3" xfId="10843" xr:uid="{F75FAC5B-9EFF-4D2D-9A37-C4B301924870}"/>
    <cellStyle name="20% - Accent6 2 8 4" xfId="19291" xr:uid="{3B329F61-C4D3-4577-8594-A680A18175C0}"/>
    <cellStyle name="20% - Accent6 2 9" xfId="4545" xr:uid="{00000000-0005-0000-0000-000071030000}"/>
    <cellStyle name="20% - Accent6 2 9 2" xfId="12995" xr:uid="{BCB9B1DB-8409-4600-B60C-257FB2FF402B}"/>
    <cellStyle name="20% - Accent6 2 9 3" xfId="21442" xr:uid="{856358AE-6851-41C0-A609-686B718576E7}"/>
    <cellStyle name="20% - Accent6 3" xfId="46" xr:uid="{00000000-0005-0000-0000-000072030000}"/>
    <cellStyle name="20% - Accent6 3 10" xfId="17229" xr:uid="{BD784DA9-4765-4618-AEEF-D2902E9949F4}"/>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2 2 2" xfId="15559" xr:uid="{45EC53B7-CB6A-4FF7-B0DE-9EA54A5ADD13}"/>
    <cellStyle name="20% - Accent6 3 2 2 2 2 3" xfId="24006" xr:uid="{9AB06FA0-B8C1-4B45-8749-1CEF412D39B0}"/>
    <cellStyle name="20% - Accent6 3 2 2 2 3" xfId="11341" xr:uid="{A7EA2A4A-4F0E-4CA7-A74D-A3ABF54DFA44}"/>
    <cellStyle name="20% - Accent6 3 2 2 2 4" xfId="19789" xr:uid="{9682F1E3-006B-472A-A783-58D2E9D19EC0}"/>
    <cellStyle name="20% - Accent6 3 2 2 3" xfId="4964" xr:uid="{00000000-0005-0000-0000-000077030000}"/>
    <cellStyle name="20% - Accent6 3 2 2 3 2" xfId="13414" xr:uid="{571C2F8A-4F71-4ED6-91B3-EE6AD5E56131}"/>
    <cellStyle name="20% - Accent6 3 2 2 3 3" xfId="21861" xr:uid="{CEFCBFC2-E849-4EDE-8950-9CC5D310593C}"/>
    <cellStyle name="20% - Accent6 3 2 2 4" xfId="9196" xr:uid="{E117F13C-BF52-4C57-9D22-9BDB0E6EE897}"/>
    <cellStyle name="20% - Accent6 3 2 2 5" xfId="17644" xr:uid="{6BA33A49-89FE-4868-A32A-06F30D4C4CAA}"/>
    <cellStyle name="20% - Accent6 3 2 3" xfId="1069" xr:uid="{00000000-0005-0000-0000-000078030000}"/>
    <cellStyle name="20% - Accent6 3 2 3 2" xfId="3300" xr:uid="{00000000-0005-0000-0000-000079030000}"/>
    <cellStyle name="20% - Accent6 3 2 3 2 2" xfId="7522" xr:uid="{00000000-0005-0000-0000-00007A030000}"/>
    <cellStyle name="20% - Accent6 3 2 3 2 2 2" xfId="15972" xr:uid="{A930191D-49B2-4D49-A03A-1D64654618F2}"/>
    <cellStyle name="20% - Accent6 3 2 3 2 2 3" xfId="24419" xr:uid="{8F69972F-DF99-49B9-80C9-8CD367F1D451}"/>
    <cellStyle name="20% - Accent6 3 2 3 2 3" xfId="11754" xr:uid="{ABF21905-F0B7-46D5-AA6A-A9AD54295E22}"/>
    <cellStyle name="20% - Accent6 3 2 3 2 4" xfId="20202" xr:uid="{3301C31C-D0FF-4056-A80B-EECA1763E4C5}"/>
    <cellStyle name="20% - Accent6 3 2 3 3" xfId="5377" xr:uid="{00000000-0005-0000-0000-00007B030000}"/>
    <cellStyle name="20% - Accent6 3 2 3 3 2" xfId="13827" xr:uid="{5723713A-C128-4406-A599-6C4AC07E7446}"/>
    <cellStyle name="20% - Accent6 3 2 3 3 3" xfId="22274" xr:uid="{23194AEA-2B2E-4E23-BED5-DA3D8A48425B}"/>
    <cellStyle name="20% - Accent6 3 2 3 4" xfId="9609" xr:uid="{3C4C2FD8-B4C2-4432-97A8-703959A7E10E}"/>
    <cellStyle name="20% - Accent6 3 2 3 5" xfId="18057" xr:uid="{B274B0D7-49C3-47F2-B044-49130744A078}"/>
    <cellStyle name="20% - Accent6 3 2 4" xfId="1483" xr:uid="{00000000-0005-0000-0000-00007C030000}"/>
    <cellStyle name="20% - Accent6 3 2 4 2" xfId="3713" xr:uid="{00000000-0005-0000-0000-00007D030000}"/>
    <cellStyle name="20% - Accent6 3 2 4 2 2" xfId="7935" xr:uid="{00000000-0005-0000-0000-00007E030000}"/>
    <cellStyle name="20% - Accent6 3 2 4 2 2 2" xfId="16385" xr:uid="{81258A02-F94F-4329-9934-502D2EC3F6F7}"/>
    <cellStyle name="20% - Accent6 3 2 4 2 2 3" xfId="24832" xr:uid="{DA82622D-6255-471F-93F0-201903C0E1CE}"/>
    <cellStyle name="20% - Accent6 3 2 4 2 3" xfId="12167" xr:uid="{FF5508FA-CEB8-4679-9D48-B6617ACE37D2}"/>
    <cellStyle name="20% - Accent6 3 2 4 2 4" xfId="20615" xr:uid="{A56441DD-2E46-4CCC-B6E2-CC51BAD9B748}"/>
    <cellStyle name="20% - Accent6 3 2 4 3" xfId="5790" xr:uid="{00000000-0005-0000-0000-00007F030000}"/>
    <cellStyle name="20% - Accent6 3 2 4 3 2" xfId="14240" xr:uid="{95502F24-79F4-4E50-B081-531927741AF3}"/>
    <cellStyle name="20% - Accent6 3 2 4 3 3" xfId="22687" xr:uid="{FF2CDFF7-6DA8-4A72-9CC8-4FA5256C2FE4}"/>
    <cellStyle name="20% - Accent6 3 2 4 4" xfId="10022" xr:uid="{9BA2CBD7-8C77-48C9-A6F3-B295ADA86A4F}"/>
    <cellStyle name="20% - Accent6 3 2 4 5" xfId="18470" xr:uid="{5A8B7074-19C5-406C-8794-1D81CF3E663C}"/>
    <cellStyle name="20% - Accent6 3 2 5" xfId="1897" xr:uid="{00000000-0005-0000-0000-000080030000}"/>
    <cellStyle name="20% - Accent6 3 2 5 2" xfId="4126" xr:uid="{00000000-0005-0000-0000-000081030000}"/>
    <cellStyle name="20% - Accent6 3 2 5 2 2" xfId="8348" xr:uid="{00000000-0005-0000-0000-000082030000}"/>
    <cellStyle name="20% - Accent6 3 2 5 2 2 2" xfId="16798" xr:uid="{259F0495-75C5-4A72-B847-54060A70954F}"/>
    <cellStyle name="20% - Accent6 3 2 5 2 2 3" xfId="25245" xr:uid="{F064EE12-386E-4F07-AFE1-F40FB94D2EF5}"/>
    <cellStyle name="20% - Accent6 3 2 5 2 3" xfId="12580" xr:uid="{D8343E54-18B4-40C5-B7AD-A52BF610D340}"/>
    <cellStyle name="20% - Accent6 3 2 5 2 4" xfId="21028" xr:uid="{D0F0FDD6-82DD-424C-AC36-9D5598CEF48E}"/>
    <cellStyle name="20% - Accent6 3 2 5 3" xfId="6203" xr:uid="{00000000-0005-0000-0000-000083030000}"/>
    <cellStyle name="20% - Accent6 3 2 5 3 2" xfId="14653" xr:uid="{79FC218F-FC9C-4A6E-8E8D-FD0019671D76}"/>
    <cellStyle name="20% - Accent6 3 2 5 3 3" xfId="23100" xr:uid="{C32A8B12-553D-482D-8224-6A8150942F26}"/>
    <cellStyle name="20% - Accent6 3 2 5 4" xfId="10435" xr:uid="{05E35FE3-0886-4403-81BB-2C7AC985E65E}"/>
    <cellStyle name="20% - Accent6 3 2 5 5" xfId="18883" xr:uid="{DF847BF0-57D7-4FB3-892E-D54F389BC62B}"/>
    <cellStyle name="20% - Accent6 3 2 6" xfId="2310" xr:uid="{00000000-0005-0000-0000-000084030000}"/>
    <cellStyle name="20% - Accent6 3 2 6 2" xfId="6616" xr:uid="{00000000-0005-0000-0000-000085030000}"/>
    <cellStyle name="20% - Accent6 3 2 6 2 2" xfId="15066" xr:uid="{6ED25B3C-C13F-429E-AF17-329C23734E3B}"/>
    <cellStyle name="20% - Accent6 3 2 6 2 3" xfId="23513" xr:uid="{8B9EE6F8-306F-4CA1-852C-8507D28A0A8F}"/>
    <cellStyle name="20% - Accent6 3 2 6 3" xfId="10848" xr:uid="{F567297D-AB39-49EC-83BF-FDF0776CA652}"/>
    <cellStyle name="20% - Accent6 3 2 6 4" xfId="19296" xr:uid="{7F4A5873-688F-485E-AA3E-0A29CDDEC28D}"/>
    <cellStyle name="20% - Accent6 3 2 7" xfId="4550" xr:uid="{00000000-0005-0000-0000-000086030000}"/>
    <cellStyle name="20% - Accent6 3 2 7 2" xfId="13000" xr:uid="{7F750C8B-E6C0-4DCD-8621-C0A4D6147F7C}"/>
    <cellStyle name="20% - Accent6 3 2 7 3" xfId="21447" xr:uid="{59988B32-B18B-4588-85AC-F71EA8A01025}"/>
    <cellStyle name="20% - Accent6 3 2 8" xfId="8782" xr:uid="{6135BC47-C6BF-498E-80F8-86827EFC966A}"/>
    <cellStyle name="20% - Accent6 3 2 9" xfId="17230" xr:uid="{CE08805A-B5BD-44F4-A348-15BE8D78DD1C}"/>
    <cellStyle name="20% - Accent6 3 3" xfId="615" xr:uid="{00000000-0005-0000-0000-000087030000}"/>
    <cellStyle name="20% - Accent6 3 3 2" xfId="2886" xr:uid="{00000000-0005-0000-0000-000088030000}"/>
    <cellStyle name="20% - Accent6 3 3 2 2" xfId="7108" xr:uid="{00000000-0005-0000-0000-000089030000}"/>
    <cellStyle name="20% - Accent6 3 3 2 2 2" xfId="15558" xr:uid="{D005DA3E-DA39-4BF7-B02D-ADD214E4DB35}"/>
    <cellStyle name="20% - Accent6 3 3 2 2 3" xfId="24005" xr:uid="{9E8A52C5-CA42-4CA7-9DF7-B32BC94BF169}"/>
    <cellStyle name="20% - Accent6 3 3 2 3" xfId="11340" xr:uid="{8BC2D81F-AF78-43EA-BBE6-27F778CE8546}"/>
    <cellStyle name="20% - Accent6 3 3 2 4" xfId="19788" xr:uid="{CC3495D3-4F2B-4834-A39D-57E457A28414}"/>
    <cellStyle name="20% - Accent6 3 3 3" xfId="4963" xr:uid="{00000000-0005-0000-0000-00008A030000}"/>
    <cellStyle name="20% - Accent6 3 3 3 2" xfId="13413" xr:uid="{40556686-18EF-4B73-B84E-041CA23A1444}"/>
    <cellStyle name="20% - Accent6 3 3 3 3" xfId="21860" xr:uid="{0BDD9683-B2A3-4D71-9546-CAC01847178C}"/>
    <cellStyle name="20% - Accent6 3 3 4" xfId="9195" xr:uid="{FE9FB2E8-E97C-4B99-952A-F14893B57B95}"/>
    <cellStyle name="20% - Accent6 3 3 5" xfId="17643" xr:uid="{D9E80472-7787-49F9-AB0D-45F7572817C5}"/>
    <cellStyle name="20% - Accent6 3 4" xfId="1068" xr:uid="{00000000-0005-0000-0000-00008B030000}"/>
    <cellStyle name="20% - Accent6 3 4 2" xfId="3299" xr:uid="{00000000-0005-0000-0000-00008C030000}"/>
    <cellStyle name="20% - Accent6 3 4 2 2" xfId="7521" xr:uid="{00000000-0005-0000-0000-00008D030000}"/>
    <cellStyle name="20% - Accent6 3 4 2 2 2" xfId="15971" xr:uid="{011A3251-B6E9-41ED-98DB-ACB915B6D740}"/>
    <cellStyle name="20% - Accent6 3 4 2 2 3" xfId="24418" xr:uid="{98F536F5-DB84-4E13-813F-EB0C51120FE7}"/>
    <cellStyle name="20% - Accent6 3 4 2 3" xfId="11753" xr:uid="{137E4F6E-DFC5-45DF-8CF7-7A711BBE6EEE}"/>
    <cellStyle name="20% - Accent6 3 4 2 4" xfId="20201" xr:uid="{26C4376B-E914-4ACC-9A50-8872417A569A}"/>
    <cellStyle name="20% - Accent6 3 4 3" xfId="5376" xr:uid="{00000000-0005-0000-0000-00008E030000}"/>
    <cellStyle name="20% - Accent6 3 4 3 2" xfId="13826" xr:uid="{FDBD2CE9-51EE-44AD-A46B-D4E0E9267394}"/>
    <cellStyle name="20% - Accent6 3 4 3 3" xfId="22273" xr:uid="{6987B40F-6CD2-4898-BCF4-79B20BD16B23}"/>
    <cellStyle name="20% - Accent6 3 4 4" xfId="9608" xr:uid="{64D49757-DFE0-42FB-8BBD-B99EE5024CBF}"/>
    <cellStyle name="20% - Accent6 3 4 5" xfId="18056" xr:uid="{A6093061-5CF5-42C5-BC66-936E68F88A19}"/>
    <cellStyle name="20% - Accent6 3 5" xfId="1482" xr:uid="{00000000-0005-0000-0000-00008F030000}"/>
    <cellStyle name="20% - Accent6 3 5 2" xfId="3712" xr:uid="{00000000-0005-0000-0000-000090030000}"/>
    <cellStyle name="20% - Accent6 3 5 2 2" xfId="7934" xr:uid="{00000000-0005-0000-0000-000091030000}"/>
    <cellStyle name="20% - Accent6 3 5 2 2 2" xfId="16384" xr:uid="{A8DD7CF6-A108-425F-A77A-F25D6E1F5E8C}"/>
    <cellStyle name="20% - Accent6 3 5 2 2 3" xfId="24831" xr:uid="{FB314659-676A-4B3A-BBAB-F0941CC52268}"/>
    <cellStyle name="20% - Accent6 3 5 2 3" xfId="12166" xr:uid="{9B039729-B28C-4B13-89EE-21D61CE91337}"/>
    <cellStyle name="20% - Accent6 3 5 2 4" xfId="20614" xr:uid="{4175C606-46F4-4122-AAD7-150AFF5DDEFE}"/>
    <cellStyle name="20% - Accent6 3 5 3" xfId="5789" xr:uid="{00000000-0005-0000-0000-000092030000}"/>
    <cellStyle name="20% - Accent6 3 5 3 2" xfId="14239" xr:uid="{4F9150A8-2650-4B90-A3FD-45006BB797BA}"/>
    <cellStyle name="20% - Accent6 3 5 3 3" xfId="22686" xr:uid="{0C2C82B7-2070-4F1F-A518-9EBAE4249CF6}"/>
    <cellStyle name="20% - Accent6 3 5 4" xfId="10021" xr:uid="{3C786690-A423-4A0E-BF91-312A7DC5DA2E}"/>
    <cellStyle name="20% - Accent6 3 5 5" xfId="18469" xr:uid="{E450C3C9-6600-4BBE-8B36-F526EDD14686}"/>
    <cellStyle name="20% - Accent6 3 6" xfId="1896" xr:uid="{00000000-0005-0000-0000-000093030000}"/>
    <cellStyle name="20% - Accent6 3 6 2" xfId="4125" xr:uid="{00000000-0005-0000-0000-000094030000}"/>
    <cellStyle name="20% - Accent6 3 6 2 2" xfId="8347" xr:uid="{00000000-0005-0000-0000-000095030000}"/>
    <cellStyle name="20% - Accent6 3 6 2 2 2" xfId="16797" xr:uid="{94AF5925-F385-4E61-95F7-2B409F3040D1}"/>
    <cellStyle name="20% - Accent6 3 6 2 2 3" xfId="25244" xr:uid="{7A7F572E-A70E-4489-A6A3-79B71A27AA1C}"/>
    <cellStyle name="20% - Accent6 3 6 2 3" xfId="12579" xr:uid="{DE3273C3-2E98-474B-A907-0CE11BB7CA77}"/>
    <cellStyle name="20% - Accent6 3 6 2 4" xfId="21027" xr:uid="{5FFBB1E0-C788-4C77-BC8C-C9E604C62E71}"/>
    <cellStyle name="20% - Accent6 3 6 3" xfId="6202" xr:uid="{00000000-0005-0000-0000-000096030000}"/>
    <cellStyle name="20% - Accent6 3 6 3 2" xfId="14652" xr:uid="{C5D73E81-B8A8-424B-8D85-247D1A9A4D6D}"/>
    <cellStyle name="20% - Accent6 3 6 3 3" xfId="23099" xr:uid="{A7F3483F-A7E5-4D24-8192-E77FFF3A8451}"/>
    <cellStyle name="20% - Accent6 3 6 4" xfId="10434" xr:uid="{7B8304C1-CE36-45DE-8E13-E02D9D7949A0}"/>
    <cellStyle name="20% - Accent6 3 6 5" xfId="18882" xr:uid="{7EC0364A-5D21-483F-B9AC-2177B75AA4C6}"/>
    <cellStyle name="20% - Accent6 3 7" xfId="2309" xr:uid="{00000000-0005-0000-0000-000097030000}"/>
    <cellStyle name="20% - Accent6 3 7 2" xfId="6615" xr:uid="{00000000-0005-0000-0000-000098030000}"/>
    <cellStyle name="20% - Accent6 3 7 2 2" xfId="15065" xr:uid="{B74C3447-8C5C-42E4-80ED-3D077A9AC9F1}"/>
    <cellStyle name="20% - Accent6 3 7 2 3" xfId="23512" xr:uid="{EDB62AEF-605B-4163-8DCC-56B1ED78FBE6}"/>
    <cellStyle name="20% - Accent6 3 7 3" xfId="10847" xr:uid="{107DE48F-558C-4588-BEE8-D1FE6D0183AB}"/>
    <cellStyle name="20% - Accent6 3 7 4" xfId="19295" xr:uid="{7CC817DE-48A9-4099-851E-CB84A221EBA0}"/>
    <cellStyle name="20% - Accent6 3 8" xfId="4549" xr:uid="{00000000-0005-0000-0000-000099030000}"/>
    <cellStyle name="20% - Accent6 3 8 2" xfId="12999" xr:uid="{080E476A-501A-4963-B60C-0CF0C9BFD8D9}"/>
    <cellStyle name="20% - Accent6 3 8 3" xfId="21446" xr:uid="{EA39A185-A752-45E7-AE12-2109CCABF69F}"/>
    <cellStyle name="20% - Accent6 3 9" xfId="8781" xr:uid="{F0999EB7-9A50-4443-8B8D-00FB50590F74}"/>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2 2 2" xfId="15560" xr:uid="{C53865FF-322F-4BF8-931E-8A8894E563E5}"/>
    <cellStyle name="20% - Accent6 4 2 2 2 3" xfId="24007" xr:uid="{D430BD56-114B-4ED1-8FC4-8679FE271E1B}"/>
    <cellStyle name="20% - Accent6 4 2 2 3" xfId="11342" xr:uid="{2FF05EF8-09DC-4CC4-A368-F60AA8FEA083}"/>
    <cellStyle name="20% - Accent6 4 2 2 4" xfId="19790" xr:uid="{80F94CBE-69E8-4015-9968-C0690C288945}"/>
    <cellStyle name="20% - Accent6 4 2 3" xfId="4965" xr:uid="{00000000-0005-0000-0000-00009E030000}"/>
    <cellStyle name="20% - Accent6 4 2 3 2" xfId="13415" xr:uid="{2843A435-5205-4653-BE05-B82E4A7AD53E}"/>
    <cellStyle name="20% - Accent6 4 2 3 3" xfId="21862" xr:uid="{B3B04A9C-26FF-48EF-996B-56141095C2DE}"/>
    <cellStyle name="20% - Accent6 4 2 4" xfId="9197" xr:uid="{1E74BD09-B98D-42DB-91C1-1F98C36DD9D5}"/>
    <cellStyle name="20% - Accent6 4 2 5" xfId="17645" xr:uid="{EAC926C6-6A5D-4E7B-B6AC-3DC6439A02C1}"/>
    <cellStyle name="20% - Accent6 4 3" xfId="1070" xr:uid="{00000000-0005-0000-0000-00009F030000}"/>
    <cellStyle name="20% - Accent6 4 3 2" xfId="3301" xr:uid="{00000000-0005-0000-0000-0000A0030000}"/>
    <cellStyle name="20% - Accent6 4 3 2 2" xfId="7523" xr:uid="{00000000-0005-0000-0000-0000A1030000}"/>
    <cellStyle name="20% - Accent6 4 3 2 2 2" xfId="15973" xr:uid="{8817B384-2A1E-4055-AC37-73A1850EFD35}"/>
    <cellStyle name="20% - Accent6 4 3 2 2 3" xfId="24420" xr:uid="{5A2B6A51-A091-4FFB-A5BB-A45FBB1B9265}"/>
    <cellStyle name="20% - Accent6 4 3 2 3" xfId="11755" xr:uid="{44267599-B349-418F-9279-4A8F0F4F9C1C}"/>
    <cellStyle name="20% - Accent6 4 3 2 4" xfId="20203" xr:uid="{967D4A6D-6F0D-410C-9239-E41555E394ED}"/>
    <cellStyle name="20% - Accent6 4 3 3" xfId="5378" xr:uid="{00000000-0005-0000-0000-0000A2030000}"/>
    <cellStyle name="20% - Accent6 4 3 3 2" xfId="13828" xr:uid="{4AB1318D-8761-4FEB-93A4-FA3BBC30BAD7}"/>
    <cellStyle name="20% - Accent6 4 3 3 3" xfId="22275" xr:uid="{DE7FC20C-1481-4774-837A-635F88EB881F}"/>
    <cellStyle name="20% - Accent6 4 3 4" xfId="9610" xr:uid="{DE47FA72-65CD-4B21-8694-29A8319668AB}"/>
    <cellStyle name="20% - Accent6 4 3 5" xfId="18058" xr:uid="{22E1962A-5556-4317-8E87-58A3122789F3}"/>
    <cellStyle name="20% - Accent6 4 4" xfId="1484" xr:uid="{00000000-0005-0000-0000-0000A3030000}"/>
    <cellStyle name="20% - Accent6 4 4 2" xfId="3714" xr:uid="{00000000-0005-0000-0000-0000A4030000}"/>
    <cellStyle name="20% - Accent6 4 4 2 2" xfId="7936" xr:uid="{00000000-0005-0000-0000-0000A5030000}"/>
    <cellStyle name="20% - Accent6 4 4 2 2 2" xfId="16386" xr:uid="{653E5652-ADB6-4AF0-B98E-CED8864DAE6D}"/>
    <cellStyle name="20% - Accent6 4 4 2 2 3" xfId="24833" xr:uid="{8089DABC-E941-450A-A3E6-531B238E87C4}"/>
    <cellStyle name="20% - Accent6 4 4 2 3" xfId="12168" xr:uid="{2AD013DA-5DED-44D8-BE28-EECAB63E6F0B}"/>
    <cellStyle name="20% - Accent6 4 4 2 4" xfId="20616" xr:uid="{6FAC6E3B-811B-4B2E-B72C-F5F8E834EB9C}"/>
    <cellStyle name="20% - Accent6 4 4 3" xfId="5791" xr:uid="{00000000-0005-0000-0000-0000A6030000}"/>
    <cellStyle name="20% - Accent6 4 4 3 2" xfId="14241" xr:uid="{B541DE7C-C4AB-4A5A-8CD7-AEADAF54A823}"/>
    <cellStyle name="20% - Accent6 4 4 3 3" xfId="22688" xr:uid="{082D1544-EBD0-4DA0-B2D5-54C2E6963514}"/>
    <cellStyle name="20% - Accent6 4 4 4" xfId="10023" xr:uid="{22A872BF-5A0F-4E2E-805A-D2959FE7C69A}"/>
    <cellStyle name="20% - Accent6 4 4 5" xfId="18471" xr:uid="{E3A954A6-DE14-4FB0-8FDB-C3B195529BE5}"/>
    <cellStyle name="20% - Accent6 4 5" xfId="1898" xr:uid="{00000000-0005-0000-0000-0000A7030000}"/>
    <cellStyle name="20% - Accent6 4 5 2" xfId="4127" xr:uid="{00000000-0005-0000-0000-0000A8030000}"/>
    <cellStyle name="20% - Accent6 4 5 2 2" xfId="8349" xr:uid="{00000000-0005-0000-0000-0000A9030000}"/>
    <cellStyle name="20% - Accent6 4 5 2 2 2" xfId="16799" xr:uid="{2EA846B0-A12B-4E24-AD5A-5A16D28ED542}"/>
    <cellStyle name="20% - Accent6 4 5 2 2 3" xfId="25246" xr:uid="{F408463C-67B7-4209-B152-04C2B123E0EC}"/>
    <cellStyle name="20% - Accent6 4 5 2 3" xfId="12581" xr:uid="{7B91C6FD-C534-4636-9A8F-5BEC2E23EDE4}"/>
    <cellStyle name="20% - Accent6 4 5 2 4" xfId="21029" xr:uid="{A6DDFF8A-CCFA-40DE-9946-1DF394A7613F}"/>
    <cellStyle name="20% - Accent6 4 5 3" xfId="6204" xr:uid="{00000000-0005-0000-0000-0000AA030000}"/>
    <cellStyle name="20% - Accent6 4 5 3 2" xfId="14654" xr:uid="{97F038AA-8B2F-4427-9A5B-230A71AF8C25}"/>
    <cellStyle name="20% - Accent6 4 5 3 3" xfId="23101" xr:uid="{49800C2A-B5AA-4A5F-932C-D9A4BA9F467F}"/>
    <cellStyle name="20% - Accent6 4 5 4" xfId="10436" xr:uid="{07B217EB-D208-4B38-AC38-C4DB1DB60862}"/>
    <cellStyle name="20% - Accent6 4 5 5" xfId="18884" xr:uid="{FE4BD909-A7BC-4A9E-91BD-7B56CD27EDF4}"/>
    <cellStyle name="20% - Accent6 4 6" xfId="2311" xr:uid="{00000000-0005-0000-0000-0000AB030000}"/>
    <cellStyle name="20% - Accent6 4 6 2" xfId="6617" xr:uid="{00000000-0005-0000-0000-0000AC030000}"/>
    <cellStyle name="20% - Accent6 4 6 2 2" xfId="15067" xr:uid="{ACE86F0F-8D74-4C79-AE8B-E027AEB20097}"/>
    <cellStyle name="20% - Accent6 4 6 2 3" xfId="23514" xr:uid="{99EF2582-8857-4EF6-B14F-1DAEB1149AB3}"/>
    <cellStyle name="20% - Accent6 4 6 3" xfId="10849" xr:uid="{631394FD-490E-4D24-8E69-D1FC467071B3}"/>
    <cellStyle name="20% - Accent6 4 6 4" xfId="19297" xr:uid="{61AF4E3F-52A3-4175-BAA2-1A12DFB23417}"/>
    <cellStyle name="20% - Accent6 4 7" xfId="4551" xr:uid="{00000000-0005-0000-0000-0000AD030000}"/>
    <cellStyle name="20% - Accent6 4 7 2" xfId="13001" xr:uid="{EEA15A18-1F2A-4AE6-84DC-7FEF78BC739D}"/>
    <cellStyle name="20% - Accent6 4 7 3" xfId="21448" xr:uid="{BD8BD9EF-CFA6-489A-95FD-C4066BCF7771}"/>
    <cellStyle name="20% - Accent6 4 8" xfId="8783" xr:uid="{54BCBE3E-22BC-4438-81F5-573815D37619}"/>
    <cellStyle name="20% - Accent6 4 9" xfId="17231" xr:uid="{DD4387E7-318A-4F6C-858E-B947CF1EC128}"/>
    <cellStyle name="20% - Accent6 5" xfId="610" xr:uid="{00000000-0005-0000-0000-0000AE030000}"/>
    <cellStyle name="20% - Accent6 5 2" xfId="2881" xr:uid="{00000000-0005-0000-0000-0000AF030000}"/>
    <cellStyle name="20% - Accent6 5 2 2" xfId="7103" xr:uid="{00000000-0005-0000-0000-0000B0030000}"/>
    <cellStyle name="20% - Accent6 5 2 2 2" xfId="15553" xr:uid="{F6C246C4-8A51-4824-8F99-2FDAA2D29C50}"/>
    <cellStyle name="20% - Accent6 5 2 2 3" xfId="24000" xr:uid="{029635FB-831B-43FF-97EB-04326FDAA4F1}"/>
    <cellStyle name="20% - Accent6 5 2 3" xfId="11335" xr:uid="{541F9EB6-153B-4B10-83BC-F625A461ECBF}"/>
    <cellStyle name="20% - Accent6 5 2 4" xfId="19783" xr:uid="{47BFFFB1-AC17-4927-8B06-E60C5C832101}"/>
    <cellStyle name="20% - Accent6 5 3" xfId="4958" xr:uid="{00000000-0005-0000-0000-0000B1030000}"/>
    <cellStyle name="20% - Accent6 5 3 2" xfId="13408" xr:uid="{AD4362E7-1DC8-436B-B734-D77B28140FBD}"/>
    <cellStyle name="20% - Accent6 5 3 3" xfId="21855" xr:uid="{E28A3884-8567-4A9B-BD1D-A822F1CF2E91}"/>
    <cellStyle name="20% - Accent6 5 4" xfId="9190" xr:uid="{70E39295-D480-4EFE-A3CC-7B532D6CB666}"/>
    <cellStyle name="20% - Accent6 5 5" xfId="17638" xr:uid="{CC3C6F90-D615-4E7B-9FC5-FAB6487971CE}"/>
    <cellStyle name="20% - Accent6 6" xfId="1063" xr:uid="{00000000-0005-0000-0000-0000B2030000}"/>
    <cellStyle name="20% - Accent6 6 2" xfId="3294" xr:uid="{00000000-0005-0000-0000-0000B3030000}"/>
    <cellStyle name="20% - Accent6 6 2 2" xfId="7516" xr:uid="{00000000-0005-0000-0000-0000B4030000}"/>
    <cellStyle name="20% - Accent6 6 2 2 2" xfId="15966" xr:uid="{FB1FA345-FEBB-4870-B3F5-40A276E98E0F}"/>
    <cellStyle name="20% - Accent6 6 2 2 3" xfId="24413" xr:uid="{9EA9AD9B-D502-49A8-A5D3-48E9D2642623}"/>
    <cellStyle name="20% - Accent6 6 2 3" xfId="11748" xr:uid="{66F54738-EC15-43B1-B723-83D21D062732}"/>
    <cellStyle name="20% - Accent6 6 2 4" xfId="20196" xr:uid="{8C81021A-C71E-483E-81D4-897ACBBC7B4A}"/>
    <cellStyle name="20% - Accent6 6 3" xfId="5371" xr:uid="{00000000-0005-0000-0000-0000B5030000}"/>
    <cellStyle name="20% - Accent6 6 3 2" xfId="13821" xr:uid="{2C96D625-019E-4DD2-B4AF-01FC6D029D61}"/>
    <cellStyle name="20% - Accent6 6 3 3" xfId="22268" xr:uid="{139994E0-D401-4186-B437-4FFFFCB87F10}"/>
    <cellStyle name="20% - Accent6 6 4" xfId="9603" xr:uid="{3EB59DB7-39DD-4C85-B763-086F053F6A20}"/>
    <cellStyle name="20% - Accent6 6 5" xfId="18051" xr:uid="{65244662-055C-4328-BCA6-5DA64B7A3ACF}"/>
    <cellStyle name="20% - Accent6 7" xfId="1477" xr:uid="{00000000-0005-0000-0000-0000B6030000}"/>
    <cellStyle name="20% - Accent6 7 2" xfId="3707" xr:uid="{00000000-0005-0000-0000-0000B7030000}"/>
    <cellStyle name="20% - Accent6 7 2 2" xfId="7929" xr:uid="{00000000-0005-0000-0000-0000B8030000}"/>
    <cellStyle name="20% - Accent6 7 2 2 2" xfId="16379" xr:uid="{1DFF8DD0-8BA4-4A93-B972-60AAC5CE1227}"/>
    <cellStyle name="20% - Accent6 7 2 2 3" xfId="24826" xr:uid="{93323ECE-21A4-4F80-8783-5C9BB9AE3E7D}"/>
    <cellStyle name="20% - Accent6 7 2 3" xfId="12161" xr:uid="{8253ACCE-B0AF-4F71-9393-A2B2CD73BC7D}"/>
    <cellStyle name="20% - Accent6 7 2 4" xfId="20609" xr:uid="{7EDFAF34-5395-4405-92A5-DF6FF1E42184}"/>
    <cellStyle name="20% - Accent6 7 3" xfId="5784" xr:uid="{00000000-0005-0000-0000-0000B9030000}"/>
    <cellStyle name="20% - Accent6 7 3 2" xfId="14234" xr:uid="{777201BE-5D7D-4C4E-B450-2D123BB228D8}"/>
    <cellStyle name="20% - Accent6 7 3 3" xfId="22681" xr:uid="{696D0A10-F667-4D52-8B0C-051B1AE43BA3}"/>
    <cellStyle name="20% - Accent6 7 4" xfId="10016" xr:uid="{9D989979-6AF9-4358-A8AC-08A4B6D13154}"/>
    <cellStyle name="20% - Accent6 7 5" xfId="18464" xr:uid="{4D3D58CF-D042-4450-AA9C-0F3F988C5837}"/>
    <cellStyle name="20% - Accent6 8" xfId="1891" xr:uid="{00000000-0005-0000-0000-0000BA030000}"/>
    <cellStyle name="20% - Accent6 8 2" xfId="4120" xr:uid="{00000000-0005-0000-0000-0000BB030000}"/>
    <cellStyle name="20% - Accent6 8 2 2" xfId="8342" xr:uid="{00000000-0005-0000-0000-0000BC030000}"/>
    <cellStyle name="20% - Accent6 8 2 2 2" xfId="16792" xr:uid="{1C4902BB-E433-4C77-B511-54E806040590}"/>
    <cellStyle name="20% - Accent6 8 2 2 3" xfId="25239" xr:uid="{36B4B9AA-D8B1-4EE0-939B-44921D962108}"/>
    <cellStyle name="20% - Accent6 8 2 3" xfId="12574" xr:uid="{1FB25C45-DEEA-4C4B-930B-D0CD8A037DF3}"/>
    <cellStyle name="20% - Accent6 8 2 4" xfId="21022" xr:uid="{B4CE38E5-108F-4084-BD87-7A053086E338}"/>
    <cellStyle name="20% - Accent6 8 3" xfId="6197" xr:uid="{00000000-0005-0000-0000-0000BD030000}"/>
    <cellStyle name="20% - Accent6 8 3 2" xfId="14647" xr:uid="{0F78EAEF-920B-4893-B146-5DC08958BF09}"/>
    <cellStyle name="20% - Accent6 8 3 3" xfId="23094" xr:uid="{9A2661EB-B7C0-4B6B-AED2-99B6BDB56CD6}"/>
    <cellStyle name="20% - Accent6 8 4" xfId="10429" xr:uid="{6F1C82C7-2E85-4EBC-8545-57DD5BD3A411}"/>
    <cellStyle name="20% - Accent6 8 5" xfId="18877" xr:uid="{348A6DCB-C944-47D2-B9FF-C729D9CA87FE}"/>
    <cellStyle name="20% - Accent6 9" xfId="2304" xr:uid="{00000000-0005-0000-0000-0000BE030000}"/>
    <cellStyle name="20% - Accent6 9 2" xfId="6610" xr:uid="{00000000-0005-0000-0000-0000BF030000}"/>
    <cellStyle name="20% - Accent6 9 2 2" xfId="15060" xr:uid="{EDED3909-43DF-4ACC-AF62-2D8DDF3DDE0F}"/>
    <cellStyle name="20% - Accent6 9 2 3" xfId="23507" xr:uid="{C8689E03-7C1F-4E13-BD5D-823BE33C199C}"/>
    <cellStyle name="20% - Accent6 9 3" xfId="10842" xr:uid="{03B098B5-7B3C-4249-816B-2205AFC1D337}"/>
    <cellStyle name="20% - Accent6 9 4" xfId="19290" xr:uid="{32B94C98-7CD5-4573-A21E-B61245AE4235}"/>
    <cellStyle name="40% - Accent1" xfId="49" builtinId="31" customBuiltin="1"/>
    <cellStyle name="40% - Accent1 10" xfId="4552" xr:uid="{00000000-0005-0000-0000-0000C1030000}"/>
    <cellStyle name="40% - Accent1 10 2" xfId="13002" xr:uid="{5D11A43C-81B5-41B7-9161-C838B81EA9BB}"/>
    <cellStyle name="40% - Accent1 10 3" xfId="21449" xr:uid="{644E431D-162F-4859-A5B5-20C5A4CA35F0}"/>
    <cellStyle name="40% - Accent1 11" xfId="8784" xr:uid="{E9C1A602-1E7E-4F38-A35E-13B245CE711F}"/>
    <cellStyle name="40% - Accent1 12" xfId="17232" xr:uid="{476D732E-08AB-45A8-91E5-81627E11A5A8}"/>
    <cellStyle name="40% - Accent1 2" xfId="50" xr:uid="{00000000-0005-0000-0000-0000C2030000}"/>
    <cellStyle name="40% - Accent1 2 10" xfId="8785" xr:uid="{86F8FBED-4952-42F1-AB02-185F1195E38C}"/>
    <cellStyle name="40% - Accent1 2 11" xfId="17233" xr:uid="{4A01C333-5FB4-4D90-AD4C-5725CC6E33B5}"/>
    <cellStyle name="40% - Accent1 2 2" xfId="51" xr:uid="{00000000-0005-0000-0000-0000C3030000}"/>
    <cellStyle name="40% - Accent1 2 2 10" xfId="17234" xr:uid="{1EF75A14-5ECF-4EAC-AA22-30D6DE6BB426}"/>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2 2 2" xfId="15564" xr:uid="{2B32FD16-0AB4-42D0-8CBB-CAAF771DC674}"/>
    <cellStyle name="40% - Accent1 2 2 2 2 2 2 3" xfId="24011" xr:uid="{29B6049E-1566-4826-A657-2C1D175B6C86}"/>
    <cellStyle name="40% - Accent1 2 2 2 2 2 3" xfId="11346" xr:uid="{4FF42415-0F38-4DC8-A425-A9CBB59FA1EC}"/>
    <cellStyle name="40% - Accent1 2 2 2 2 2 4" xfId="19794" xr:uid="{8EF965B9-99B9-447D-BCEE-DB5257F96D31}"/>
    <cellStyle name="40% - Accent1 2 2 2 2 3" xfId="4969" xr:uid="{00000000-0005-0000-0000-0000C8030000}"/>
    <cellStyle name="40% - Accent1 2 2 2 2 3 2" xfId="13419" xr:uid="{7EB2286F-78FE-468D-91B2-A94643B41DDB}"/>
    <cellStyle name="40% - Accent1 2 2 2 2 3 3" xfId="21866" xr:uid="{65BE2F12-390D-4BC0-9993-34F3912C0128}"/>
    <cellStyle name="40% - Accent1 2 2 2 2 4" xfId="9201" xr:uid="{B22063B3-AF79-4DB8-A408-2CC56D59CD8C}"/>
    <cellStyle name="40% - Accent1 2 2 2 2 5" xfId="17649" xr:uid="{0CBFBF95-3A2F-4457-8C9B-326DED6D1068}"/>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2 2 2" xfId="15977" xr:uid="{D205B818-3FEC-471E-9C7F-0DC6566ACEB0}"/>
    <cellStyle name="40% - Accent1 2 2 2 3 2 2 3" xfId="24424" xr:uid="{09F4E7ED-9291-483B-97A5-B63B07A29A2C}"/>
    <cellStyle name="40% - Accent1 2 2 2 3 2 3" xfId="11759" xr:uid="{FCEF3DC8-F42D-44D6-97B8-2B2F4DB93C6C}"/>
    <cellStyle name="40% - Accent1 2 2 2 3 2 4" xfId="20207" xr:uid="{3D8632B1-D312-4E04-B153-6CFD5182E293}"/>
    <cellStyle name="40% - Accent1 2 2 2 3 3" xfId="5382" xr:uid="{00000000-0005-0000-0000-0000CC030000}"/>
    <cellStyle name="40% - Accent1 2 2 2 3 3 2" xfId="13832" xr:uid="{B7B902A3-B378-486F-9F60-69C2B4B80419}"/>
    <cellStyle name="40% - Accent1 2 2 2 3 3 3" xfId="22279" xr:uid="{3EF46EB7-C403-4C82-88BD-A0B0249FB122}"/>
    <cellStyle name="40% - Accent1 2 2 2 3 4" xfId="9614" xr:uid="{15E8E908-CDDD-43DF-AE8D-61226FA4CCF4}"/>
    <cellStyle name="40% - Accent1 2 2 2 3 5" xfId="18062" xr:uid="{69EF0980-B89D-4FA9-BA23-D8CF290676AF}"/>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2 2 2" xfId="16390" xr:uid="{68F08258-B66C-4EB4-B0F8-A4CC4495F314}"/>
    <cellStyle name="40% - Accent1 2 2 2 4 2 2 3" xfId="24837" xr:uid="{6B2DF2BD-4B00-4ABA-BFA8-C192D6DCD65F}"/>
    <cellStyle name="40% - Accent1 2 2 2 4 2 3" xfId="12172" xr:uid="{CFF06774-66A8-4B2F-93D5-C566F8DC0784}"/>
    <cellStyle name="40% - Accent1 2 2 2 4 2 4" xfId="20620" xr:uid="{6444D200-18AA-4A1A-9A4B-DA016C63DD75}"/>
    <cellStyle name="40% - Accent1 2 2 2 4 3" xfId="5795" xr:uid="{00000000-0005-0000-0000-0000D0030000}"/>
    <cellStyle name="40% - Accent1 2 2 2 4 3 2" xfId="14245" xr:uid="{CA0A06F6-6E09-43C1-A114-D76899D90B1B}"/>
    <cellStyle name="40% - Accent1 2 2 2 4 3 3" xfId="22692" xr:uid="{9F6A0CAF-933D-4466-BF51-6BC0CCD25098}"/>
    <cellStyle name="40% - Accent1 2 2 2 4 4" xfId="10027" xr:uid="{F25B3CCE-E75E-45E6-AE73-0C74DECABF96}"/>
    <cellStyle name="40% - Accent1 2 2 2 4 5" xfId="18475" xr:uid="{120677E6-474F-4E60-A26D-5D0BB54007CF}"/>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2 2 2" xfId="16803" xr:uid="{7129B384-8106-41AD-8F83-F7F3073FD562}"/>
    <cellStyle name="40% - Accent1 2 2 2 5 2 2 3" xfId="25250" xr:uid="{1E78B98C-1647-4B5A-84D4-4477789E0CCE}"/>
    <cellStyle name="40% - Accent1 2 2 2 5 2 3" xfId="12585" xr:uid="{A203375D-D28F-4EFC-92C2-208BE970F958}"/>
    <cellStyle name="40% - Accent1 2 2 2 5 2 4" xfId="21033" xr:uid="{6454D1DE-36AC-448D-9BF5-428954F4D19E}"/>
    <cellStyle name="40% - Accent1 2 2 2 5 3" xfId="6208" xr:uid="{00000000-0005-0000-0000-0000D4030000}"/>
    <cellStyle name="40% - Accent1 2 2 2 5 3 2" xfId="14658" xr:uid="{0AE385F3-F0E7-4C0C-8EBA-BA8E9630B2FD}"/>
    <cellStyle name="40% - Accent1 2 2 2 5 3 3" xfId="23105" xr:uid="{020410D5-74C9-4F83-9B18-B2A0E025CF15}"/>
    <cellStyle name="40% - Accent1 2 2 2 5 4" xfId="10440" xr:uid="{5645697C-801D-448A-A0B5-B9E4B42B08D8}"/>
    <cellStyle name="40% - Accent1 2 2 2 5 5" xfId="18888" xr:uid="{21761834-1015-406E-9311-D1013EC6A627}"/>
    <cellStyle name="40% - Accent1 2 2 2 6" xfId="2315" xr:uid="{00000000-0005-0000-0000-0000D5030000}"/>
    <cellStyle name="40% - Accent1 2 2 2 6 2" xfId="6621" xr:uid="{00000000-0005-0000-0000-0000D6030000}"/>
    <cellStyle name="40% - Accent1 2 2 2 6 2 2" xfId="15071" xr:uid="{44512AA3-5F80-412B-AB08-6F099BDBB35D}"/>
    <cellStyle name="40% - Accent1 2 2 2 6 2 3" xfId="23518" xr:uid="{B45EAFB2-87A6-42A6-B983-02DAA20792EA}"/>
    <cellStyle name="40% - Accent1 2 2 2 6 3" xfId="10853" xr:uid="{CACCB2C3-571A-45FF-AA7A-6CDE025BEEB5}"/>
    <cellStyle name="40% - Accent1 2 2 2 6 4" xfId="19301" xr:uid="{5EA523BE-A5BD-480D-B673-689406CC19BF}"/>
    <cellStyle name="40% - Accent1 2 2 2 7" xfId="4555" xr:uid="{00000000-0005-0000-0000-0000D7030000}"/>
    <cellStyle name="40% - Accent1 2 2 2 7 2" xfId="13005" xr:uid="{658F42D8-0C95-4951-9DE1-B77031EDDE74}"/>
    <cellStyle name="40% - Accent1 2 2 2 7 3" xfId="21452" xr:uid="{B5092205-2150-4A0B-AA9F-18204642CFCF}"/>
    <cellStyle name="40% - Accent1 2 2 2 8" xfId="8787" xr:uid="{12B03B12-7862-4695-AE68-B6326CB2C962}"/>
    <cellStyle name="40% - Accent1 2 2 2 9" xfId="17235" xr:uid="{B0639C8B-3FBF-4F42-BDF2-B6DB4FA6EBBD}"/>
    <cellStyle name="40% - Accent1 2 2 3" xfId="620" xr:uid="{00000000-0005-0000-0000-0000D8030000}"/>
    <cellStyle name="40% - Accent1 2 2 3 2" xfId="2891" xr:uid="{00000000-0005-0000-0000-0000D9030000}"/>
    <cellStyle name="40% - Accent1 2 2 3 2 2" xfId="7113" xr:uid="{00000000-0005-0000-0000-0000DA030000}"/>
    <cellStyle name="40% - Accent1 2 2 3 2 2 2" xfId="15563" xr:uid="{552ED65B-B8FB-4FF0-9967-3961470CF474}"/>
    <cellStyle name="40% - Accent1 2 2 3 2 2 3" xfId="24010" xr:uid="{ADCF5F99-7498-45EB-AC51-884B19FBAEF5}"/>
    <cellStyle name="40% - Accent1 2 2 3 2 3" xfId="11345" xr:uid="{C6D1EA03-5141-4758-A5D4-1B3B45CD0A22}"/>
    <cellStyle name="40% - Accent1 2 2 3 2 4" xfId="19793" xr:uid="{0720BB20-1EE2-4E4A-A5E2-8E2BCFA88146}"/>
    <cellStyle name="40% - Accent1 2 2 3 3" xfId="4968" xr:uid="{00000000-0005-0000-0000-0000DB030000}"/>
    <cellStyle name="40% - Accent1 2 2 3 3 2" xfId="13418" xr:uid="{6D8C497D-9776-46EE-9490-CCCFD69E9E50}"/>
    <cellStyle name="40% - Accent1 2 2 3 3 3" xfId="21865" xr:uid="{FB63BF12-302A-485C-9EE2-18B76A73279A}"/>
    <cellStyle name="40% - Accent1 2 2 3 4" xfId="9200" xr:uid="{E58BA625-B514-4155-A7C4-C7AE673E8482}"/>
    <cellStyle name="40% - Accent1 2 2 3 5" xfId="17648" xr:uid="{06FD729F-1D86-4613-9BA0-D61C32C29C9C}"/>
    <cellStyle name="40% - Accent1 2 2 4" xfId="1073" xr:uid="{00000000-0005-0000-0000-0000DC030000}"/>
    <cellStyle name="40% - Accent1 2 2 4 2" xfId="3304" xr:uid="{00000000-0005-0000-0000-0000DD030000}"/>
    <cellStyle name="40% - Accent1 2 2 4 2 2" xfId="7526" xr:uid="{00000000-0005-0000-0000-0000DE030000}"/>
    <cellStyle name="40% - Accent1 2 2 4 2 2 2" xfId="15976" xr:uid="{26BE6723-FB36-43B3-8AC0-D0B12113953C}"/>
    <cellStyle name="40% - Accent1 2 2 4 2 2 3" xfId="24423" xr:uid="{33FCAD2C-7A32-43B3-89C5-6F3694961F67}"/>
    <cellStyle name="40% - Accent1 2 2 4 2 3" xfId="11758" xr:uid="{F51E22ED-1C0D-4CD2-8A9A-D03E48809104}"/>
    <cellStyle name="40% - Accent1 2 2 4 2 4" xfId="20206" xr:uid="{35361ACB-C49D-46D2-B6C0-B1017BBE22E1}"/>
    <cellStyle name="40% - Accent1 2 2 4 3" xfId="5381" xr:uid="{00000000-0005-0000-0000-0000DF030000}"/>
    <cellStyle name="40% - Accent1 2 2 4 3 2" xfId="13831" xr:uid="{BF86C01C-37F8-4897-A237-C57B20F24B4B}"/>
    <cellStyle name="40% - Accent1 2 2 4 3 3" xfId="22278" xr:uid="{5BC2E5BA-3B56-4C4C-9998-6FB392A1510D}"/>
    <cellStyle name="40% - Accent1 2 2 4 4" xfId="9613" xr:uid="{63DB9F3A-E3F0-4ECD-9C5A-98773B4A225D}"/>
    <cellStyle name="40% - Accent1 2 2 4 5" xfId="18061" xr:uid="{641E9083-55BE-41E3-A189-B9AA2A85DFAE}"/>
    <cellStyle name="40% - Accent1 2 2 5" xfId="1487" xr:uid="{00000000-0005-0000-0000-0000E0030000}"/>
    <cellStyle name="40% - Accent1 2 2 5 2" xfId="3717" xr:uid="{00000000-0005-0000-0000-0000E1030000}"/>
    <cellStyle name="40% - Accent1 2 2 5 2 2" xfId="7939" xr:uid="{00000000-0005-0000-0000-0000E2030000}"/>
    <cellStyle name="40% - Accent1 2 2 5 2 2 2" xfId="16389" xr:uid="{1D6143F7-F77C-4EE4-89B4-B8F7A6E973AD}"/>
    <cellStyle name="40% - Accent1 2 2 5 2 2 3" xfId="24836" xr:uid="{B3985413-A002-48CB-BF18-9CBFE7127218}"/>
    <cellStyle name="40% - Accent1 2 2 5 2 3" xfId="12171" xr:uid="{9155663F-1DF7-46ED-9156-8455631D7CE0}"/>
    <cellStyle name="40% - Accent1 2 2 5 2 4" xfId="20619" xr:uid="{6979D507-B937-46A3-A929-63CFA4CECF75}"/>
    <cellStyle name="40% - Accent1 2 2 5 3" xfId="5794" xr:uid="{00000000-0005-0000-0000-0000E3030000}"/>
    <cellStyle name="40% - Accent1 2 2 5 3 2" xfId="14244" xr:uid="{089A95FA-4D28-4AB0-B3D9-30437D5634FE}"/>
    <cellStyle name="40% - Accent1 2 2 5 3 3" xfId="22691" xr:uid="{97AD08B3-D7D7-45BF-BE03-5EA13BC1C256}"/>
    <cellStyle name="40% - Accent1 2 2 5 4" xfId="10026" xr:uid="{F8D80B22-9602-4BE0-B7DB-FC4275614D2B}"/>
    <cellStyle name="40% - Accent1 2 2 5 5" xfId="18474" xr:uid="{234A7E79-EEE6-4C0B-AA63-8C65A94179F9}"/>
    <cellStyle name="40% - Accent1 2 2 6" xfId="1901" xr:uid="{00000000-0005-0000-0000-0000E4030000}"/>
    <cellStyle name="40% - Accent1 2 2 6 2" xfId="4130" xr:uid="{00000000-0005-0000-0000-0000E5030000}"/>
    <cellStyle name="40% - Accent1 2 2 6 2 2" xfId="8352" xr:uid="{00000000-0005-0000-0000-0000E6030000}"/>
    <cellStyle name="40% - Accent1 2 2 6 2 2 2" xfId="16802" xr:uid="{664518FC-1490-40D9-9B16-C637C36D0E0E}"/>
    <cellStyle name="40% - Accent1 2 2 6 2 2 3" xfId="25249" xr:uid="{86565BC2-17D3-4864-B061-202B3BFE1A81}"/>
    <cellStyle name="40% - Accent1 2 2 6 2 3" xfId="12584" xr:uid="{F3E9788D-05B0-48EB-B3F0-60696FBBD7A9}"/>
    <cellStyle name="40% - Accent1 2 2 6 2 4" xfId="21032" xr:uid="{2344500C-A4DA-42C8-8E2C-9F1FD98D8D7A}"/>
    <cellStyle name="40% - Accent1 2 2 6 3" xfId="6207" xr:uid="{00000000-0005-0000-0000-0000E7030000}"/>
    <cellStyle name="40% - Accent1 2 2 6 3 2" xfId="14657" xr:uid="{C3150E11-6F78-4EE7-A4A3-4F83A2E80F7C}"/>
    <cellStyle name="40% - Accent1 2 2 6 3 3" xfId="23104" xr:uid="{B23F4A75-E89F-4390-AA7D-F4DA9F101603}"/>
    <cellStyle name="40% - Accent1 2 2 6 4" xfId="10439" xr:uid="{284904D8-C8EC-44D4-8A46-518F42332AA4}"/>
    <cellStyle name="40% - Accent1 2 2 6 5" xfId="18887" xr:uid="{C5748E68-BBBF-4DC7-AF78-89995EADBEFD}"/>
    <cellStyle name="40% - Accent1 2 2 7" xfId="2314" xr:uid="{00000000-0005-0000-0000-0000E8030000}"/>
    <cellStyle name="40% - Accent1 2 2 7 2" xfId="6620" xr:uid="{00000000-0005-0000-0000-0000E9030000}"/>
    <cellStyle name="40% - Accent1 2 2 7 2 2" xfId="15070" xr:uid="{DAB3F0AC-7D5C-4673-9581-E5E1D8915BBA}"/>
    <cellStyle name="40% - Accent1 2 2 7 2 3" xfId="23517" xr:uid="{9B306B79-20ED-4ED3-A78D-7134D1F66E49}"/>
    <cellStyle name="40% - Accent1 2 2 7 3" xfId="10852" xr:uid="{AC064205-AC77-45B3-9F5E-6B43C5E69E1C}"/>
    <cellStyle name="40% - Accent1 2 2 7 4" xfId="19300" xr:uid="{89CFBFDF-A3FA-4F8E-B28C-BA3EA89ABC1D}"/>
    <cellStyle name="40% - Accent1 2 2 8" xfId="4554" xr:uid="{00000000-0005-0000-0000-0000EA030000}"/>
    <cellStyle name="40% - Accent1 2 2 8 2" xfId="13004" xr:uid="{12EC89B7-5C2E-4601-BFBD-057933C5D8E3}"/>
    <cellStyle name="40% - Accent1 2 2 8 3" xfId="21451" xr:uid="{44EEA08F-3225-4F9D-8B9E-A771CDDCCED5}"/>
    <cellStyle name="40% - Accent1 2 2 9" xfId="8786" xr:uid="{54F207B1-FD69-48CB-A428-1BBBFE5EF931}"/>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2 2 2" xfId="15565" xr:uid="{9D3042A2-76EB-4E76-9507-2F3CF3F9CB23}"/>
    <cellStyle name="40% - Accent1 2 3 2 2 2 3" xfId="24012" xr:uid="{4AF78ECD-0283-4984-9A88-E3E836E5861C}"/>
    <cellStyle name="40% - Accent1 2 3 2 2 3" xfId="11347" xr:uid="{3F7E406D-70F7-4635-A35A-D84176AA1AE9}"/>
    <cellStyle name="40% - Accent1 2 3 2 2 4" xfId="19795" xr:uid="{C77DCBA1-3E00-4CA6-9A5A-082FC8E4B7D2}"/>
    <cellStyle name="40% - Accent1 2 3 2 3" xfId="4970" xr:uid="{00000000-0005-0000-0000-0000EF030000}"/>
    <cellStyle name="40% - Accent1 2 3 2 3 2" xfId="13420" xr:uid="{DAB10DC0-E0C6-4C3D-9C3D-B74D33B9EC83}"/>
    <cellStyle name="40% - Accent1 2 3 2 3 3" xfId="21867" xr:uid="{98EC255D-0CED-4414-9BCC-BA9B01A81882}"/>
    <cellStyle name="40% - Accent1 2 3 2 4" xfId="9202" xr:uid="{366FBBE8-C5EA-4A77-9BF5-B3627157EC5F}"/>
    <cellStyle name="40% - Accent1 2 3 2 5" xfId="17650" xr:uid="{2B7A446D-E946-46B1-B1D9-24AC2740A172}"/>
    <cellStyle name="40% - Accent1 2 3 3" xfId="1075" xr:uid="{00000000-0005-0000-0000-0000F0030000}"/>
    <cellStyle name="40% - Accent1 2 3 3 2" xfId="3306" xr:uid="{00000000-0005-0000-0000-0000F1030000}"/>
    <cellStyle name="40% - Accent1 2 3 3 2 2" xfId="7528" xr:uid="{00000000-0005-0000-0000-0000F2030000}"/>
    <cellStyle name="40% - Accent1 2 3 3 2 2 2" xfId="15978" xr:uid="{C36144FF-9F89-4125-8747-04E6391F1DD2}"/>
    <cellStyle name="40% - Accent1 2 3 3 2 2 3" xfId="24425" xr:uid="{1ED1A86A-7C76-45DF-8D07-FD2CC657C459}"/>
    <cellStyle name="40% - Accent1 2 3 3 2 3" xfId="11760" xr:uid="{A97AD889-1E13-4DD0-A3BD-3EC6AAD7DAD0}"/>
    <cellStyle name="40% - Accent1 2 3 3 2 4" xfId="20208" xr:uid="{842A66B8-6A65-4A63-8279-DF27A22FD608}"/>
    <cellStyle name="40% - Accent1 2 3 3 3" xfId="5383" xr:uid="{00000000-0005-0000-0000-0000F3030000}"/>
    <cellStyle name="40% - Accent1 2 3 3 3 2" xfId="13833" xr:uid="{90C4A1E1-F9C7-4EB2-95BB-647026E999BB}"/>
    <cellStyle name="40% - Accent1 2 3 3 3 3" xfId="22280" xr:uid="{CE23ECC6-8B7D-438B-BB37-4F1267943EAC}"/>
    <cellStyle name="40% - Accent1 2 3 3 4" xfId="9615" xr:uid="{1FFF4DC8-2B72-4DBF-AD6F-75C963D5B289}"/>
    <cellStyle name="40% - Accent1 2 3 3 5" xfId="18063" xr:uid="{A953B4A0-CDC0-4211-BD8F-82552232040E}"/>
    <cellStyle name="40% - Accent1 2 3 4" xfId="1489" xr:uid="{00000000-0005-0000-0000-0000F4030000}"/>
    <cellStyle name="40% - Accent1 2 3 4 2" xfId="3719" xr:uid="{00000000-0005-0000-0000-0000F5030000}"/>
    <cellStyle name="40% - Accent1 2 3 4 2 2" xfId="7941" xr:uid="{00000000-0005-0000-0000-0000F6030000}"/>
    <cellStyle name="40% - Accent1 2 3 4 2 2 2" xfId="16391" xr:uid="{19148CF7-BBCF-4E77-B478-1FAC5A3DC416}"/>
    <cellStyle name="40% - Accent1 2 3 4 2 2 3" xfId="24838" xr:uid="{04B32E8C-2410-4050-8D96-55547F04D8CA}"/>
    <cellStyle name="40% - Accent1 2 3 4 2 3" xfId="12173" xr:uid="{61A8C70A-1908-4AFF-856A-E232EC05551D}"/>
    <cellStyle name="40% - Accent1 2 3 4 2 4" xfId="20621" xr:uid="{0746BC4D-73BE-4A49-A5E9-2B38B96B3E67}"/>
    <cellStyle name="40% - Accent1 2 3 4 3" xfId="5796" xr:uid="{00000000-0005-0000-0000-0000F7030000}"/>
    <cellStyle name="40% - Accent1 2 3 4 3 2" xfId="14246" xr:uid="{621C08B8-13A3-427A-BEAC-7D6CC41C4764}"/>
    <cellStyle name="40% - Accent1 2 3 4 3 3" xfId="22693" xr:uid="{3C763A5D-592D-4835-8EB8-C25EE21A69E8}"/>
    <cellStyle name="40% - Accent1 2 3 4 4" xfId="10028" xr:uid="{4B274384-E842-45DE-8DC0-DDAEC33D8C87}"/>
    <cellStyle name="40% - Accent1 2 3 4 5" xfId="18476" xr:uid="{85ADF56A-8A94-4402-8D9E-20D98F2891BC}"/>
    <cellStyle name="40% - Accent1 2 3 5" xfId="1903" xr:uid="{00000000-0005-0000-0000-0000F8030000}"/>
    <cellStyle name="40% - Accent1 2 3 5 2" xfId="4132" xr:uid="{00000000-0005-0000-0000-0000F9030000}"/>
    <cellStyle name="40% - Accent1 2 3 5 2 2" xfId="8354" xr:uid="{00000000-0005-0000-0000-0000FA030000}"/>
    <cellStyle name="40% - Accent1 2 3 5 2 2 2" xfId="16804" xr:uid="{8EC02B0E-8FF1-42B9-96FA-A7E84CCBADF8}"/>
    <cellStyle name="40% - Accent1 2 3 5 2 2 3" xfId="25251" xr:uid="{2FE52014-EE7F-4E83-A83F-7B70567A70CE}"/>
    <cellStyle name="40% - Accent1 2 3 5 2 3" xfId="12586" xr:uid="{A8B84300-BDC2-499B-A008-094E9F36313E}"/>
    <cellStyle name="40% - Accent1 2 3 5 2 4" xfId="21034" xr:uid="{41589BD8-0DAB-4A7F-B226-D67E8DB8ECD4}"/>
    <cellStyle name="40% - Accent1 2 3 5 3" xfId="6209" xr:uid="{00000000-0005-0000-0000-0000FB030000}"/>
    <cellStyle name="40% - Accent1 2 3 5 3 2" xfId="14659" xr:uid="{0E92374D-A91B-4744-8DD0-F86C15F5E234}"/>
    <cellStyle name="40% - Accent1 2 3 5 3 3" xfId="23106" xr:uid="{5ED4B947-9B9D-42B8-88B9-6B60FECD4262}"/>
    <cellStyle name="40% - Accent1 2 3 5 4" xfId="10441" xr:uid="{C5B67276-FADA-4044-9541-BE759F8925BD}"/>
    <cellStyle name="40% - Accent1 2 3 5 5" xfId="18889" xr:uid="{56808001-508E-481E-8202-9624237DB4F4}"/>
    <cellStyle name="40% - Accent1 2 3 6" xfId="2316" xr:uid="{00000000-0005-0000-0000-0000FC030000}"/>
    <cellStyle name="40% - Accent1 2 3 6 2" xfId="6622" xr:uid="{00000000-0005-0000-0000-0000FD030000}"/>
    <cellStyle name="40% - Accent1 2 3 6 2 2" xfId="15072" xr:uid="{06F8DF6C-7477-4113-9118-479C2CF8DADD}"/>
    <cellStyle name="40% - Accent1 2 3 6 2 3" xfId="23519" xr:uid="{9ABD9BC4-B807-44FB-B2D9-A0BE77AC5AB7}"/>
    <cellStyle name="40% - Accent1 2 3 6 3" xfId="10854" xr:uid="{FB0A94ED-A389-4FAB-8E23-56D41831E5A7}"/>
    <cellStyle name="40% - Accent1 2 3 6 4" xfId="19302" xr:uid="{160C4A6A-05D2-418B-B17E-E9390874A972}"/>
    <cellStyle name="40% - Accent1 2 3 7" xfId="4556" xr:uid="{00000000-0005-0000-0000-0000FE030000}"/>
    <cellStyle name="40% - Accent1 2 3 7 2" xfId="13006" xr:uid="{163F8D37-D193-43EF-AAA3-327C1F33B248}"/>
    <cellStyle name="40% - Accent1 2 3 7 3" xfId="21453" xr:uid="{16EA06A4-B64C-4428-9D4B-7DF2B66B9EAF}"/>
    <cellStyle name="40% - Accent1 2 3 8" xfId="8788" xr:uid="{8BC3CE65-851C-41B0-BCE1-6801FE3D9624}"/>
    <cellStyle name="40% - Accent1 2 3 9" xfId="17236" xr:uid="{FFD13D2D-9AD4-4962-9B97-D5D6552F1A72}"/>
    <cellStyle name="40% - Accent1 2 4" xfId="619" xr:uid="{00000000-0005-0000-0000-0000FF030000}"/>
    <cellStyle name="40% - Accent1 2 4 2" xfId="2890" xr:uid="{00000000-0005-0000-0000-000000040000}"/>
    <cellStyle name="40% - Accent1 2 4 2 2" xfId="7112" xr:uid="{00000000-0005-0000-0000-000001040000}"/>
    <cellStyle name="40% - Accent1 2 4 2 2 2" xfId="15562" xr:uid="{E218B249-1678-43E2-8509-03F2F5EEB094}"/>
    <cellStyle name="40% - Accent1 2 4 2 2 3" xfId="24009" xr:uid="{0609956D-0767-45B9-8485-D61652F50BC3}"/>
    <cellStyle name="40% - Accent1 2 4 2 3" xfId="11344" xr:uid="{A7928B65-E14A-4827-B9BF-7984CDC7DBC6}"/>
    <cellStyle name="40% - Accent1 2 4 2 4" xfId="19792" xr:uid="{1A0034D3-9247-4D22-94C4-18CC76B8D130}"/>
    <cellStyle name="40% - Accent1 2 4 3" xfId="4967" xr:uid="{00000000-0005-0000-0000-000002040000}"/>
    <cellStyle name="40% - Accent1 2 4 3 2" xfId="13417" xr:uid="{843772D9-A671-4DF6-82B7-0F0F74FFAEB5}"/>
    <cellStyle name="40% - Accent1 2 4 3 3" xfId="21864" xr:uid="{EC0C019C-C929-46CA-A9E7-26F90AE8E22D}"/>
    <cellStyle name="40% - Accent1 2 4 4" xfId="9199" xr:uid="{7FAFBBAF-A63E-4A1A-BD7A-1CC458766621}"/>
    <cellStyle name="40% - Accent1 2 4 5" xfId="17647" xr:uid="{CFF640CF-E016-4157-ADC6-13C43C2D4D56}"/>
    <cellStyle name="40% - Accent1 2 5" xfId="1072" xr:uid="{00000000-0005-0000-0000-000003040000}"/>
    <cellStyle name="40% - Accent1 2 5 2" xfId="3303" xr:uid="{00000000-0005-0000-0000-000004040000}"/>
    <cellStyle name="40% - Accent1 2 5 2 2" xfId="7525" xr:uid="{00000000-0005-0000-0000-000005040000}"/>
    <cellStyle name="40% - Accent1 2 5 2 2 2" xfId="15975" xr:uid="{52355842-9CA1-4113-98FE-7BACEBC4A5C5}"/>
    <cellStyle name="40% - Accent1 2 5 2 2 3" xfId="24422" xr:uid="{A121B859-5438-43F5-A07F-53AC26B271E8}"/>
    <cellStyle name="40% - Accent1 2 5 2 3" xfId="11757" xr:uid="{7D3A7E2C-E546-4441-A6A8-1C7AC18D88E1}"/>
    <cellStyle name="40% - Accent1 2 5 2 4" xfId="20205" xr:uid="{2145A3A0-1277-40DE-9416-BA13426AB8F8}"/>
    <cellStyle name="40% - Accent1 2 5 3" xfId="5380" xr:uid="{00000000-0005-0000-0000-000006040000}"/>
    <cellStyle name="40% - Accent1 2 5 3 2" xfId="13830" xr:uid="{F1C750B6-247F-46F9-A282-BB6177897ED5}"/>
    <cellStyle name="40% - Accent1 2 5 3 3" xfId="22277" xr:uid="{EF2CB094-22CF-48E8-A796-0922F3917F2D}"/>
    <cellStyle name="40% - Accent1 2 5 4" xfId="9612" xr:uid="{47E5A3D2-F9E1-49FC-9893-ADDCDC27131B}"/>
    <cellStyle name="40% - Accent1 2 5 5" xfId="18060" xr:uid="{63E871C2-9FA9-4A90-821D-948A90316DF2}"/>
    <cellStyle name="40% - Accent1 2 6" xfId="1486" xr:uid="{00000000-0005-0000-0000-000007040000}"/>
    <cellStyle name="40% - Accent1 2 6 2" xfId="3716" xr:uid="{00000000-0005-0000-0000-000008040000}"/>
    <cellStyle name="40% - Accent1 2 6 2 2" xfId="7938" xr:uid="{00000000-0005-0000-0000-000009040000}"/>
    <cellStyle name="40% - Accent1 2 6 2 2 2" xfId="16388" xr:uid="{A71F7886-5FE5-42D3-9781-9E1EA3797928}"/>
    <cellStyle name="40% - Accent1 2 6 2 2 3" xfId="24835" xr:uid="{F2660297-54A6-420E-8213-B9513BAD80CB}"/>
    <cellStyle name="40% - Accent1 2 6 2 3" xfId="12170" xr:uid="{D44E5780-7560-44BC-B81F-67F92B0ADF4A}"/>
    <cellStyle name="40% - Accent1 2 6 2 4" xfId="20618" xr:uid="{A009476E-E501-49B1-8448-95E9F08AA997}"/>
    <cellStyle name="40% - Accent1 2 6 3" xfId="5793" xr:uid="{00000000-0005-0000-0000-00000A040000}"/>
    <cellStyle name="40% - Accent1 2 6 3 2" xfId="14243" xr:uid="{A8F240C5-ABCF-40F8-890C-800E7482948B}"/>
    <cellStyle name="40% - Accent1 2 6 3 3" xfId="22690" xr:uid="{FA12BBDA-5103-4796-A337-0785CBBF2F08}"/>
    <cellStyle name="40% - Accent1 2 6 4" xfId="10025" xr:uid="{B67D49EA-34B9-4FC0-8803-B20EFD509C7D}"/>
    <cellStyle name="40% - Accent1 2 6 5" xfId="18473" xr:uid="{D289502F-483E-4506-9F33-D703900966A5}"/>
    <cellStyle name="40% - Accent1 2 7" xfId="1900" xr:uid="{00000000-0005-0000-0000-00000B040000}"/>
    <cellStyle name="40% - Accent1 2 7 2" xfId="4129" xr:uid="{00000000-0005-0000-0000-00000C040000}"/>
    <cellStyle name="40% - Accent1 2 7 2 2" xfId="8351" xr:uid="{00000000-0005-0000-0000-00000D040000}"/>
    <cellStyle name="40% - Accent1 2 7 2 2 2" xfId="16801" xr:uid="{556E9296-A597-4154-BAC7-B9350D546714}"/>
    <cellStyle name="40% - Accent1 2 7 2 2 3" xfId="25248" xr:uid="{5D2EFCA1-81C7-417A-9360-CB5EAAAE960F}"/>
    <cellStyle name="40% - Accent1 2 7 2 3" xfId="12583" xr:uid="{E0B61505-C8B0-4362-94A2-BEB3CDAD1054}"/>
    <cellStyle name="40% - Accent1 2 7 2 4" xfId="21031" xr:uid="{106B75C9-5B44-4907-9A79-5B29E6A65086}"/>
    <cellStyle name="40% - Accent1 2 7 3" xfId="6206" xr:uid="{00000000-0005-0000-0000-00000E040000}"/>
    <cellStyle name="40% - Accent1 2 7 3 2" xfId="14656" xr:uid="{29F5E4D8-6DC3-4E4B-B6C9-3E85EEA57882}"/>
    <cellStyle name="40% - Accent1 2 7 3 3" xfId="23103" xr:uid="{737519D7-53A2-4DCB-AE18-1E2C822BD23F}"/>
    <cellStyle name="40% - Accent1 2 7 4" xfId="10438" xr:uid="{E3545C97-A2D4-4098-8A0E-0675AB040B13}"/>
    <cellStyle name="40% - Accent1 2 7 5" xfId="18886" xr:uid="{B86EA8B0-8D80-4B5B-B432-DFA1FB66963C}"/>
    <cellStyle name="40% - Accent1 2 8" xfId="2313" xr:uid="{00000000-0005-0000-0000-00000F040000}"/>
    <cellStyle name="40% - Accent1 2 8 2" xfId="6619" xr:uid="{00000000-0005-0000-0000-000010040000}"/>
    <cellStyle name="40% - Accent1 2 8 2 2" xfId="15069" xr:uid="{4876117D-D5A2-44C6-9607-8703957B238B}"/>
    <cellStyle name="40% - Accent1 2 8 2 3" xfId="23516" xr:uid="{9BF3FF0C-C638-4B4D-9B61-3B3404635639}"/>
    <cellStyle name="40% - Accent1 2 8 3" xfId="10851" xr:uid="{3DE80B7B-2163-4FC8-9053-81B6176DB7AE}"/>
    <cellStyle name="40% - Accent1 2 8 4" xfId="19299" xr:uid="{F8F5DD33-71BC-4470-B28C-1FB650F5F5A3}"/>
    <cellStyle name="40% - Accent1 2 9" xfId="4553" xr:uid="{00000000-0005-0000-0000-000011040000}"/>
    <cellStyle name="40% - Accent1 2 9 2" xfId="13003" xr:uid="{C7F02880-37CD-4F42-A1D5-1A96FED7929D}"/>
    <cellStyle name="40% - Accent1 2 9 3" xfId="21450" xr:uid="{A03FC230-0CE9-4E48-9C68-596CBC74521F}"/>
    <cellStyle name="40% - Accent1 3" xfId="54" xr:uid="{00000000-0005-0000-0000-000012040000}"/>
    <cellStyle name="40% - Accent1 3 10" xfId="17237" xr:uid="{C4A249DD-99B5-4F43-A737-95B60A9140B7}"/>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2 2 2" xfId="15567" xr:uid="{6B0784A5-7A0A-4452-A686-FDC722338BC4}"/>
    <cellStyle name="40% - Accent1 3 2 2 2 2 3" xfId="24014" xr:uid="{015F71BE-8CBB-403B-A736-EFB97312BCC0}"/>
    <cellStyle name="40% - Accent1 3 2 2 2 3" xfId="11349" xr:uid="{EB24CE8D-9070-4DC1-8D80-C6F1F7ED0726}"/>
    <cellStyle name="40% - Accent1 3 2 2 2 4" xfId="19797" xr:uid="{3988809B-5C00-474B-A137-FC2F47165E81}"/>
    <cellStyle name="40% - Accent1 3 2 2 3" xfId="4972" xr:uid="{00000000-0005-0000-0000-000017040000}"/>
    <cellStyle name="40% - Accent1 3 2 2 3 2" xfId="13422" xr:uid="{64B19F84-5A62-48B4-A46A-B020D0C60990}"/>
    <cellStyle name="40% - Accent1 3 2 2 3 3" xfId="21869" xr:uid="{F20D5491-C976-4A0B-921F-A222FBDE4878}"/>
    <cellStyle name="40% - Accent1 3 2 2 4" xfId="9204" xr:uid="{486E0099-9AE1-49BE-89FB-F6C80829D056}"/>
    <cellStyle name="40% - Accent1 3 2 2 5" xfId="17652" xr:uid="{0431B9DE-273C-442D-97E2-9F579BE75D7B}"/>
    <cellStyle name="40% - Accent1 3 2 3" xfId="1077" xr:uid="{00000000-0005-0000-0000-000018040000}"/>
    <cellStyle name="40% - Accent1 3 2 3 2" xfId="3308" xr:uid="{00000000-0005-0000-0000-000019040000}"/>
    <cellStyle name="40% - Accent1 3 2 3 2 2" xfId="7530" xr:uid="{00000000-0005-0000-0000-00001A040000}"/>
    <cellStyle name="40% - Accent1 3 2 3 2 2 2" xfId="15980" xr:uid="{6C1F56A6-F895-4761-89A9-7A42EAC01B3C}"/>
    <cellStyle name="40% - Accent1 3 2 3 2 2 3" xfId="24427" xr:uid="{CD870524-1CBF-43AE-95EE-F9BCDD596939}"/>
    <cellStyle name="40% - Accent1 3 2 3 2 3" xfId="11762" xr:uid="{2F9F8118-5CF7-44E6-B78E-DE066A4279ED}"/>
    <cellStyle name="40% - Accent1 3 2 3 2 4" xfId="20210" xr:uid="{09B378CE-E63E-49BB-992E-E2771FD24EDE}"/>
    <cellStyle name="40% - Accent1 3 2 3 3" xfId="5385" xr:uid="{00000000-0005-0000-0000-00001B040000}"/>
    <cellStyle name="40% - Accent1 3 2 3 3 2" xfId="13835" xr:uid="{0CF54FCB-E266-4F55-9FD6-777CF3A1CCA7}"/>
    <cellStyle name="40% - Accent1 3 2 3 3 3" xfId="22282" xr:uid="{20B60659-7FF3-4063-BF07-645E26A62CC1}"/>
    <cellStyle name="40% - Accent1 3 2 3 4" xfId="9617" xr:uid="{184BF3EC-EA73-48E7-A859-6BBA61F539FE}"/>
    <cellStyle name="40% - Accent1 3 2 3 5" xfId="18065" xr:uid="{00B5AD50-AE7B-4016-9ACF-8D2736F2289F}"/>
    <cellStyle name="40% - Accent1 3 2 4" xfId="1491" xr:uid="{00000000-0005-0000-0000-00001C040000}"/>
    <cellStyle name="40% - Accent1 3 2 4 2" xfId="3721" xr:uid="{00000000-0005-0000-0000-00001D040000}"/>
    <cellStyle name="40% - Accent1 3 2 4 2 2" xfId="7943" xr:uid="{00000000-0005-0000-0000-00001E040000}"/>
    <cellStyle name="40% - Accent1 3 2 4 2 2 2" xfId="16393" xr:uid="{D377CC98-E0A0-4A01-B2D9-75E289BC046C}"/>
    <cellStyle name="40% - Accent1 3 2 4 2 2 3" xfId="24840" xr:uid="{7F55336A-13DE-458F-82F0-7AAEAB8001DA}"/>
    <cellStyle name="40% - Accent1 3 2 4 2 3" xfId="12175" xr:uid="{11D9BAFA-6C74-4082-B91C-0C0CB3CD8455}"/>
    <cellStyle name="40% - Accent1 3 2 4 2 4" xfId="20623" xr:uid="{D15170C6-6C52-43EA-99CF-25C099C1BB4C}"/>
    <cellStyle name="40% - Accent1 3 2 4 3" xfId="5798" xr:uid="{00000000-0005-0000-0000-00001F040000}"/>
    <cellStyle name="40% - Accent1 3 2 4 3 2" xfId="14248" xr:uid="{1AC0F8F1-DA9C-4A96-80BC-CE7F0DC8B8A4}"/>
    <cellStyle name="40% - Accent1 3 2 4 3 3" xfId="22695" xr:uid="{AF8A730D-EA23-46EC-B035-2EEB4869E518}"/>
    <cellStyle name="40% - Accent1 3 2 4 4" xfId="10030" xr:uid="{0281B3CE-FB34-41CA-9E19-58979055137F}"/>
    <cellStyle name="40% - Accent1 3 2 4 5" xfId="18478" xr:uid="{4DA9395F-8D71-4391-B8E8-2D444DC8A685}"/>
    <cellStyle name="40% - Accent1 3 2 5" xfId="1905" xr:uid="{00000000-0005-0000-0000-000020040000}"/>
    <cellStyle name="40% - Accent1 3 2 5 2" xfId="4134" xr:uid="{00000000-0005-0000-0000-000021040000}"/>
    <cellStyle name="40% - Accent1 3 2 5 2 2" xfId="8356" xr:uid="{00000000-0005-0000-0000-000022040000}"/>
    <cellStyle name="40% - Accent1 3 2 5 2 2 2" xfId="16806" xr:uid="{F2F078A0-20C8-4031-BAF7-5515E195877D}"/>
    <cellStyle name="40% - Accent1 3 2 5 2 2 3" xfId="25253" xr:uid="{7BDB4F97-3BA8-49A7-BAB1-61333212FFE2}"/>
    <cellStyle name="40% - Accent1 3 2 5 2 3" xfId="12588" xr:uid="{759542E2-F6C8-4A39-BDBD-07F7E8440D54}"/>
    <cellStyle name="40% - Accent1 3 2 5 2 4" xfId="21036" xr:uid="{9C6FDC7D-0625-4D2E-BA73-3552351117DE}"/>
    <cellStyle name="40% - Accent1 3 2 5 3" xfId="6211" xr:uid="{00000000-0005-0000-0000-000023040000}"/>
    <cellStyle name="40% - Accent1 3 2 5 3 2" xfId="14661" xr:uid="{EB88985F-51F5-4AFB-A258-4C0F911BA1C7}"/>
    <cellStyle name="40% - Accent1 3 2 5 3 3" xfId="23108" xr:uid="{EE1E0760-86AB-44CD-9E17-B2584F58DE80}"/>
    <cellStyle name="40% - Accent1 3 2 5 4" xfId="10443" xr:uid="{424999D9-E4A4-4F99-A87B-63A604336D0F}"/>
    <cellStyle name="40% - Accent1 3 2 5 5" xfId="18891" xr:uid="{602A38FD-381C-44DB-BF4A-2F788CD8F110}"/>
    <cellStyle name="40% - Accent1 3 2 6" xfId="2318" xr:uid="{00000000-0005-0000-0000-000024040000}"/>
    <cellStyle name="40% - Accent1 3 2 6 2" xfId="6624" xr:uid="{00000000-0005-0000-0000-000025040000}"/>
    <cellStyle name="40% - Accent1 3 2 6 2 2" xfId="15074" xr:uid="{73F40C37-EAE1-4868-80AE-A691E5CA10A6}"/>
    <cellStyle name="40% - Accent1 3 2 6 2 3" xfId="23521" xr:uid="{63C50379-7F08-45F4-8A7C-687C71477E48}"/>
    <cellStyle name="40% - Accent1 3 2 6 3" xfId="10856" xr:uid="{D713D516-6FF0-43B4-B71A-9C496293744C}"/>
    <cellStyle name="40% - Accent1 3 2 6 4" xfId="19304" xr:uid="{D020F8DD-9BAA-4497-90CF-68088BD72056}"/>
    <cellStyle name="40% - Accent1 3 2 7" xfId="4558" xr:uid="{00000000-0005-0000-0000-000026040000}"/>
    <cellStyle name="40% - Accent1 3 2 7 2" xfId="13008" xr:uid="{E464DAEB-B91D-465A-A087-1A8B1FF31E16}"/>
    <cellStyle name="40% - Accent1 3 2 7 3" xfId="21455" xr:uid="{2FA140CD-A790-4F03-A627-57F55BBFCE89}"/>
    <cellStyle name="40% - Accent1 3 2 8" xfId="8790" xr:uid="{E1DC1EF3-C9E0-4530-B589-65E77CB0AC9E}"/>
    <cellStyle name="40% - Accent1 3 2 9" xfId="17238" xr:uid="{E36A3404-543E-4340-88EF-D3DB4C27CB25}"/>
    <cellStyle name="40% - Accent1 3 3" xfId="623" xr:uid="{00000000-0005-0000-0000-000027040000}"/>
    <cellStyle name="40% - Accent1 3 3 2" xfId="2894" xr:uid="{00000000-0005-0000-0000-000028040000}"/>
    <cellStyle name="40% - Accent1 3 3 2 2" xfId="7116" xr:uid="{00000000-0005-0000-0000-000029040000}"/>
    <cellStyle name="40% - Accent1 3 3 2 2 2" xfId="15566" xr:uid="{7BA94152-04AF-4021-97BE-FA0E876D846F}"/>
    <cellStyle name="40% - Accent1 3 3 2 2 3" xfId="24013" xr:uid="{409C12D7-1EBA-445D-92CA-EDA6D4060B4D}"/>
    <cellStyle name="40% - Accent1 3 3 2 3" xfId="11348" xr:uid="{49E26A6C-0C01-4150-B985-D58733791FE2}"/>
    <cellStyle name="40% - Accent1 3 3 2 4" xfId="19796" xr:uid="{1AE6835C-A30D-4F1D-ABD9-09BFD8403320}"/>
    <cellStyle name="40% - Accent1 3 3 3" xfId="4971" xr:uid="{00000000-0005-0000-0000-00002A040000}"/>
    <cellStyle name="40% - Accent1 3 3 3 2" xfId="13421" xr:uid="{B6A8CAAA-CACE-494C-9794-1FDBB6F136CC}"/>
    <cellStyle name="40% - Accent1 3 3 3 3" xfId="21868" xr:uid="{7C5F3DD7-FBA0-48C5-8735-57C80449D57E}"/>
    <cellStyle name="40% - Accent1 3 3 4" xfId="9203" xr:uid="{9D1E46ED-27DB-413D-B626-BD2550B8B0AE}"/>
    <cellStyle name="40% - Accent1 3 3 5" xfId="17651" xr:uid="{DE9BA88B-337F-4DB2-A3A4-C5A1EFB3E8D2}"/>
    <cellStyle name="40% - Accent1 3 4" xfId="1076" xr:uid="{00000000-0005-0000-0000-00002B040000}"/>
    <cellStyle name="40% - Accent1 3 4 2" xfId="3307" xr:uid="{00000000-0005-0000-0000-00002C040000}"/>
    <cellStyle name="40% - Accent1 3 4 2 2" xfId="7529" xr:uid="{00000000-0005-0000-0000-00002D040000}"/>
    <cellStyle name="40% - Accent1 3 4 2 2 2" xfId="15979" xr:uid="{E09867B1-DC84-419A-836D-2149A0F4C7B2}"/>
    <cellStyle name="40% - Accent1 3 4 2 2 3" xfId="24426" xr:uid="{296120E9-D756-45A2-AA76-35257E27D725}"/>
    <cellStyle name="40% - Accent1 3 4 2 3" xfId="11761" xr:uid="{254A23AE-D2EB-49C9-B890-75C27B08E150}"/>
    <cellStyle name="40% - Accent1 3 4 2 4" xfId="20209" xr:uid="{33AF1CD1-80EA-4804-BAC7-ED15B90A0E6D}"/>
    <cellStyle name="40% - Accent1 3 4 3" xfId="5384" xr:uid="{00000000-0005-0000-0000-00002E040000}"/>
    <cellStyle name="40% - Accent1 3 4 3 2" xfId="13834" xr:uid="{963FCB34-0EF9-494F-816E-623BE80040D5}"/>
    <cellStyle name="40% - Accent1 3 4 3 3" xfId="22281" xr:uid="{2EA31506-A863-4FCD-A929-8E597B82B966}"/>
    <cellStyle name="40% - Accent1 3 4 4" xfId="9616" xr:uid="{8B7903E2-326D-44D8-8403-31F8DB138037}"/>
    <cellStyle name="40% - Accent1 3 4 5" xfId="18064" xr:uid="{5F48003B-98CB-458D-B76D-476701120C68}"/>
    <cellStyle name="40% - Accent1 3 5" xfId="1490" xr:uid="{00000000-0005-0000-0000-00002F040000}"/>
    <cellStyle name="40% - Accent1 3 5 2" xfId="3720" xr:uid="{00000000-0005-0000-0000-000030040000}"/>
    <cellStyle name="40% - Accent1 3 5 2 2" xfId="7942" xr:uid="{00000000-0005-0000-0000-000031040000}"/>
    <cellStyle name="40% - Accent1 3 5 2 2 2" xfId="16392" xr:uid="{BF1EB0F1-C5AD-46FE-9A55-8DA69C7C7306}"/>
    <cellStyle name="40% - Accent1 3 5 2 2 3" xfId="24839" xr:uid="{BCF3E278-D514-4AA7-A358-A58C4455BD2E}"/>
    <cellStyle name="40% - Accent1 3 5 2 3" xfId="12174" xr:uid="{3C60103C-4C6D-4EDB-BB6F-AC1E7499E027}"/>
    <cellStyle name="40% - Accent1 3 5 2 4" xfId="20622" xr:uid="{C98338C7-6E9B-4761-A776-E68CC56C5648}"/>
    <cellStyle name="40% - Accent1 3 5 3" xfId="5797" xr:uid="{00000000-0005-0000-0000-000032040000}"/>
    <cellStyle name="40% - Accent1 3 5 3 2" xfId="14247" xr:uid="{ABD0EBB8-3DE1-4D7F-B0A2-B942C3D0391E}"/>
    <cellStyle name="40% - Accent1 3 5 3 3" xfId="22694" xr:uid="{C8C57F78-4303-4FDD-934D-58469F395422}"/>
    <cellStyle name="40% - Accent1 3 5 4" xfId="10029" xr:uid="{83386FBF-F1C2-42D9-948C-94F602D1C9D7}"/>
    <cellStyle name="40% - Accent1 3 5 5" xfId="18477" xr:uid="{4B9AD75C-6D58-495D-8A8D-1AB55C77312B}"/>
    <cellStyle name="40% - Accent1 3 6" xfId="1904" xr:uid="{00000000-0005-0000-0000-000033040000}"/>
    <cellStyle name="40% - Accent1 3 6 2" xfId="4133" xr:uid="{00000000-0005-0000-0000-000034040000}"/>
    <cellStyle name="40% - Accent1 3 6 2 2" xfId="8355" xr:uid="{00000000-0005-0000-0000-000035040000}"/>
    <cellStyle name="40% - Accent1 3 6 2 2 2" xfId="16805" xr:uid="{AEE7E227-8D71-4A81-889B-8638CB7B264A}"/>
    <cellStyle name="40% - Accent1 3 6 2 2 3" xfId="25252" xr:uid="{D19D0078-90D1-486D-862D-8D33D4441E4A}"/>
    <cellStyle name="40% - Accent1 3 6 2 3" xfId="12587" xr:uid="{8E5D7351-21BA-4744-B9CF-00C62B028D75}"/>
    <cellStyle name="40% - Accent1 3 6 2 4" xfId="21035" xr:uid="{3047871F-FD35-4C66-8855-B9EB6EE2519E}"/>
    <cellStyle name="40% - Accent1 3 6 3" xfId="6210" xr:uid="{00000000-0005-0000-0000-000036040000}"/>
    <cellStyle name="40% - Accent1 3 6 3 2" xfId="14660" xr:uid="{A94949DE-1B38-421D-B5EF-3E3043767D06}"/>
    <cellStyle name="40% - Accent1 3 6 3 3" xfId="23107" xr:uid="{B806B0E9-2668-4C9D-8B04-7F9EE686F83C}"/>
    <cellStyle name="40% - Accent1 3 6 4" xfId="10442" xr:uid="{3AFD1755-40E7-4D3B-9558-60761C3600A0}"/>
    <cellStyle name="40% - Accent1 3 6 5" xfId="18890" xr:uid="{379BEC2D-CFAC-44D0-A90E-08918FDB5F4F}"/>
    <cellStyle name="40% - Accent1 3 7" xfId="2317" xr:uid="{00000000-0005-0000-0000-000037040000}"/>
    <cellStyle name="40% - Accent1 3 7 2" xfId="6623" xr:uid="{00000000-0005-0000-0000-000038040000}"/>
    <cellStyle name="40% - Accent1 3 7 2 2" xfId="15073" xr:uid="{A1CB7C1B-E3F2-4C78-9AAE-88223C0EB67E}"/>
    <cellStyle name="40% - Accent1 3 7 2 3" xfId="23520" xr:uid="{9BF3F2E7-BF5B-4055-A0B3-BAF62B36D6A2}"/>
    <cellStyle name="40% - Accent1 3 7 3" xfId="10855" xr:uid="{9909A2B0-DA09-465E-8D39-D64834AEF619}"/>
    <cellStyle name="40% - Accent1 3 7 4" xfId="19303" xr:uid="{5797A88A-143C-42EF-85AC-1FD430D340DA}"/>
    <cellStyle name="40% - Accent1 3 8" xfId="4557" xr:uid="{00000000-0005-0000-0000-000039040000}"/>
    <cellStyle name="40% - Accent1 3 8 2" xfId="13007" xr:uid="{524992F8-60E3-418C-BEA2-318604DBFD0F}"/>
    <cellStyle name="40% - Accent1 3 8 3" xfId="21454" xr:uid="{E76970AC-7D76-4484-BAA7-50F85A85653A}"/>
    <cellStyle name="40% - Accent1 3 9" xfId="8789" xr:uid="{0A350126-7280-40F2-B6D8-C712448ACCC5}"/>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2 2 2" xfId="15568" xr:uid="{03099CB9-A65D-4A02-84D3-91CE91C13972}"/>
    <cellStyle name="40% - Accent1 4 2 2 2 3" xfId="24015" xr:uid="{2B3CD782-BD81-4D80-9ACF-3DA528EE5BEC}"/>
    <cellStyle name="40% - Accent1 4 2 2 3" xfId="11350" xr:uid="{333CFD4D-6483-44A9-8072-F0E631C3E19B}"/>
    <cellStyle name="40% - Accent1 4 2 2 4" xfId="19798" xr:uid="{4DFDF518-49F0-4DFC-AD17-1B3B66BF7B8B}"/>
    <cellStyle name="40% - Accent1 4 2 3" xfId="4973" xr:uid="{00000000-0005-0000-0000-00003E040000}"/>
    <cellStyle name="40% - Accent1 4 2 3 2" xfId="13423" xr:uid="{79153FF4-BF07-492C-B79A-A519F68B8CAF}"/>
    <cellStyle name="40% - Accent1 4 2 3 3" xfId="21870" xr:uid="{D677DAAD-0FAF-4958-8977-5AF697E49BEC}"/>
    <cellStyle name="40% - Accent1 4 2 4" xfId="9205" xr:uid="{D64AFFF5-2689-41D9-A240-5B5E531784E0}"/>
    <cellStyle name="40% - Accent1 4 2 5" xfId="17653" xr:uid="{15A2AC83-E664-483D-96D7-8EE76811B00D}"/>
    <cellStyle name="40% - Accent1 4 3" xfId="1078" xr:uid="{00000000-0005-0000-0000-00003F040000}"/>
    <cellStyle name="40% - Accent1 4 3 2" xfId="3309" xr:uid="{00000000-0005-0000-0000-000040040000}"/>
    <cellStyle name="40% - Accent1 4 3 2 2" xfId="7531" xr:uid="{00000000-0005-0000-0000-000041040000}"/>
    <cellStyle name="40% - Accent1 4 3 2 2 2" xfId="15981" xr:uid="{2FDDF0A7-8ACB-4C85-B8DC-DAD0307ED03C}"/>
    <cellStyle name="40% - Accent1 4 3 2 2 3" xfId="24428" xr:uid="{34BD7A09-2742-4775-84B7-1BDB5CF32D55}"/>
    <cellStyle name="40% - Accent1 4 3 2 3" xfId="11763" xr:uid="{20283043-6718-4F78-BAE0-50E4D94070FC}"/>
    <cellStyle name="40% - Accent1 4 3 2 4" xfId="20211" xr:uid="{33CE66B0-62C7-4646-91CC-67F38A3A4B96}"/>
    <cellStyle name="40% - Accent1 4 3 3" xfId="5386" xr:uid="{00000000-0005-0000-0000-000042040000}"/>
    <cellStyle name="40% - Accent1 4 3 3 2" xfId="13836" xr:uid="{C60405A4-D674-41A1-9831-EB88C0DCC361}"/>
    <cellStyle name="40% - Accent1 4 3 3 3" xfId="22283" xr:uid="{F6614509-45A9-45AC-B8A9-5A64AB955B8B}"/>
    <cellStyle name="40% - Accent1 4 3 4" xfId="9618" xr:uid="{3F1535C8-6E51-4BD1-A369-A548E5839009}"/>
    <cellStyle name="40% - Accent1 4 3 5" xfId="18066" xr:uid="{941CA213-2251-420B-9436-2ACA748B3BE0}"/>
    <cellStyle name="40% - Accent1 4 4" xfId="1492" xr:uid="{00000000-0005-0000-0000-000043040000}"/>
    <cellStyle name="40% - Accent1 4 4 2" xfId="3722" xr:uid="{00000000-0005-0000-0000-000044040000}"/>
    <cellStyle name="40% - Accent1 4 4 2 2" xfId="7944" xr:uid="{00000000-0005-0000-0000-000045040000}"/>
    <cellStyle name="40% - Accent1 4 4 2 2 2" xfId="16394" xr:uid="{A59CA686-D503-46FC-B97A-F4CCA775F750}"/>
    <cellStyle name="40% - Accent1 4 4 2 2 3" xfId="24841" xr:uid="{FD95C2D6-C6F5-44B9-B800-340A97589B11}"/>
    <cellStyle name="40% - Accent1 4 4 2 3" xfId="12176" xr:uid="{D5562B79-464C-4045-A533-61ADA0481322}"/>
    <cellStyle name="40% - Accent1 4 4 2 4" xfId="20624" xr:uid="{711E8E2D-250A-4638-B1BA-A99E52EE8CDA}"/>
    <cellStyle name="40% - Accent1 4 4 3" xfId="5799" xr:uid="{00000000-0005-0000-0000-000046040000}"/>
    <cellStyle name="40% - Accent1 4 4 3 2" xfId="14249" xr:uid="{9A471A10-7449-4D03-8E00-AA5318E07185}"/>
    <cellStyle name="40% - Accent1 4 4 3 3" xfId="22696" xr:uid="{EDB3583C-F97E-44D1-BFF1-D9DD97F5C703}"/>
    <cellStyle name="40% - Accent1 4 4 4" xfId="10031" xr:uid="{EB6DC2C3-C5F2-493C-A422-96657E322005}"/>
    <cellStyle name="40% - Accent1 4 4 5" xfId="18479" xr:uid="{7E394804-8CAD-4574-8248-BF357EE12DCD}"/>
    <cellStyle name="40% - Accent1 4 5" xfId="1906" xr:uid="{00000000-0005-0000-0000-000047040000}"/>
    <cellStyle name="40% - Accent1 4 5 2" xfId="4135" xr:uid="{00000000-0005-0000-0000-000048040000}"/>
    <cellStyle name="40% - Accent1 4 5 2 2" xfId="8357" xr:uid="{00000000-0005-0000-0000-000049040000}"/>
    <cellStyle name="40% - Accent1 4 5 2 2 2" xfId="16807" xr:uid="{EFC3A167-6400-4D8A-9506-28494CE683BE}"/>
    <cellStyle name="40% - Accent1 4 5 2 2 3" xfId="25254" xr:uid="{81480B0F-82B6-4917-98B6-0E04D2F4865E}"/>
    <cellStyle name="40% - Accent1 4 5 2 3" xfId="12589" xr:uid="{2D265B5D-4A06-4152-8560-B6CEF2613B5A}"/>
    <cellStyle name="40% - Accent1 4 5 2 4" xfId="21037" xr:uid="{EE7DF62A-1B4B-4494-918C-5FD5F9911CE8}"/>
    <cellStyle name="40% - Accent1 4 5 3" xfId="6212" xr:uid="{00000000-0005-0000-0000-00004A040000}"/>
    <cellStyle name="40% - Accent1 4 5 3 2" xfId="14662" xr:uid="{EAF70FD3-FAF9-4DE4-A3D5-3F62F5F8E233}"/>
    <cellStyle name="40% - Accent1 4 5 3 3" xfId="23109" xr:uid="{55E9314E-DE07-4C5D-8A14-068507BBC09C}"/>
    <cellStyle name="40% - Accent1 4 5 4" xfId="10444" xr:uid="{25555DDF-8EA8-4827-87FE-139196973798}"/>
    <cellStyle name="40% - Accent1 4 5 5" xfId="18892" xr:uid="{F58C7290-C7EA-4ECB-AD65-35AA7B707A6A}"/>
    <cellStyle name="40% - Accent1 4 6" xfId="2319" xr:uid="{00000000-0005-0000-0000-00004B040000}"/>
    <cellStyle name="40% - Accent1 4 6 2" xfId="6625" xr:uid="{00000000-0005-0000-0000-00004C040000}"/>
    <cellStyle name="40% - Accent1 4 6 2 2" xfId="15075" xr:uid="{5E8DF814-84D7-4A39-A85B-AF771D9766E5}"/>
    <cellStyle name="40% - Accent1 4 6 2 3" xfId="23522" xr:uid="{3ED44FAE-DEA3-4124-8208-96FF10FE3F08}"/>
    <cellStyle name="40% - Accent1 4 6 3" xfId="10857" xr:uid="{F9A7D89C-E4FE-4C67-8AC2-40056A484BFA}"/>
    <cellStyle name="40% - Accent1 4 6 4" xfId="19305" xr:uid="{90CD949A-9407-471B-912F-E9CF9BA271F2}"/>
    <cellStyle name="40% - Accent1 4 7" xfId="4559" xr:uid="{00000000-0005-0000-0000-00004D040000}"/>
    <cellStyle name="40% - Accent1 4 7 2" xfId="13009" xr:uid="{25DAD6AF-C3AB-4AB7-BCFB-F25B15256D40}"/>
    <cellStyle name="40% - Accent1 4 7 3" xfId="21456" xr:uid="{E7081889-5E06-4EC6-8D78-2672BF07DE2E}"/>
    <cellStyle name="40% - Accent1 4 8" xfId="8791" xr:uid="{13EDAAAE-6336-46F9-BB36-0CD8551CCA72}"/>
    <cellStyle name="40% - Accent1 4 9" xfId="17239" xr:uid="{3C9DBDAB-B274-48F4-AC3D-CBE9425E506C}"/>
    <cellStyle name="40% - Accent1 5" xfId="618" xr:uid="{00000000-0005-0000-0000-00004E040000}"/>
    <cellStyle name="40% - Accent1 5 2" xfId="2889" xr:uid="{00000000-0005-0000-0000-00004F040000}"/>
    <cellStyle name="40% - Accent1 5 2 2" xfId="7111" xr:uid="{00000000-0005-0000-0000-000050040000}"/>
    <cellStyle name="40% - Accent1 5 2 2 2" xfId="15561" xr:uid="{6D8096AC-CF65-422A-BD4C-6FC81D873F5F}"/>
    <cellStyle name="40% - Accent1 5 2 2 3" xfId="24008" xr:uid="{4B9A2280-7019-451B-9BE1-86A6902F5AFE}"/>
    <cellStyle name="40% - Accent1 5 2 3" xfId="11343" xr:uid="{0DE071B7-FAAD-4DE4-865E-53ABF7D268D4}"/>
    <cellStyle name="40% - Accent1 5 2 4" xfId="19791" xr:uid="{78927CF5-81BB-476A-9AFF-FB2B832EE3EC}"/>
    <cellStyle name="40% - Accent1 5 3" xfId="4966" xr:uid="{00000000-0005-0000-0000-000051040000}"/>
    <cellStyle name="40% - Accent1 5 3 2" xfId="13416" xr:uid="{7C177447-F4A4-44F2-96BE-38E1306366CC}"/>
    <cellStyle name="40% - Accent1 5 3 3" xfId="21863" xr:uid="{4CEB98F6-7182-4FBE-8B29-D75E0BA70BEB}"/>
    <cellStyle name="40% - Accent1 5 4" xfId="9198" xr:uid="{798FA689-F2E2-4109-8FD0-16692BC2725B}"/>
    <cellStyle name="40% - Accent1 5 5" xfId="17646" xr:uid="{E9BB3CE3-6AA0-4DAF-9A6C-BEFC5FA3120E}"/>
    <cellStyle name="40% - Accent1 6" xfId="1071" xr:uid="{00000000-0005-0000-0000-000052040000}"/>
    <cellStyle name="40% - Accent1 6 2" xfId="3302" xr:uid="{00000000-0005-0000-0000-000053040000}"/>
    <cellStyle name="40% - Accent1 6 2 2" xfId="7524" xr:uid="{00000000-0005-0000-0000-000054040000}"/>
    <cellStyle name="40% - Accent1 6 2 2 2" xfId="15974" xr:uid="{8332609A-0780-446F-82E2-C1EF3CBBDC9A}"/>
    <cellStyle name="40% - Accent1 6 2 2 3" xfId="24421" xr:uid="{2894BA9F-6CCE-4A46-9B43-18369D29222F}"/>
    <cellStyle name="40% - Accent1 6 2 3" xfId="11756" xr:uid="{7C15CE5F-1EA3-4016-A4CE-7504D72FF86B}"/>
    <cellStyle name="40% - Accent1 6 2 4" xfId="20204" xr:uid="{B6071090-86CC-4C65-BA9A-B122E1B4C77E}"/>
    <cellStyle name="40% - Accent1 6 3" xfId="5379" xr:uid="{00000000-0005-0000-0000-000055040000}"/>
    <cellStyle name="40% - Accent1 6 3 2" xfId="13829" xr:uid="{C625DA91-870C-49FE-B97D-D7F4F06D5A2C}"/>
    <cellStyle name="40% - Accent1 6 3 3" xfId="22276" xr:uid="{556DAA47-34E4-4ECA-AB76-53831218765F}"/>
    <cellStyle name="40% - Accent1 6 4" xfId="9611" xr:uid="{1BECFDCF-B5F9-47E4-AA12-25C2C33965A5}"/>
    <cellStyle name="40% - Accent1 6 5" xfId="18059" xr:uid="{10A7F9BF-A567-4EED-AF69-232C72206C80}"/>
    <cellStyle name="40% - Accent1 7" xfId="1485" xr:uid="{00000000-0005-0000-0000-000056040000}"/>
    <cellStyle name="40% - Accent1 7 2" xfId="3715" xr:uid="{00000000-0005-0000-0000-000057040000}"/>
    <cellStyle name="40% - Accent1 7 2 2" xfId="7937" xr:uid="{00000000-0005-0000-0000-000058040000}"/>
    <cellStyle name="40% - Accent1 7 2 2 2" xfId="16387" xr:uid="{A29FF16E-2037-460A-8508-D04D8A369C1A}"/>
    <cellStyle name="40% - Accent1 7 2 2 3" xfId="24834" xr:uid="{223F0487-009E-4AE0-B933-C9A31701B1CB}"/>
    <cellStyle name="40% - Accent1 7 2 3" xfId="12169" xr:uid="{2249A275-D095-4552-A2E7-C10ECB740CB8}"/>
    <cellStyle name="40% - Accent1 7 2 4" xfId="20617" xr:uid="{137EAF63-2FBB-49EE-AD57-CB3AA395B19D}"/>
    <cellStyle name="40% - Accent1 7 3" xfId="5792" xr:uid="{00000000-0005-0000-0000-000059040000}"/>
    <cellStyle name="40% - Accent1 7 3 2" xfId="14242" xr:uid="{84A0401E-5CEB-46D1-A723-DD74E5628404}"/>
    <cellStyle name="40% - Accent1 7 3 3" xfId="22689" xr:uid="{537A4AA7-AA98-4011-8584-E1555F97A47F}"/>
    <cellStyle name="40% - Accent1 7 4" xfId="10024" xr:uid="{044AA296-0DB9-452B-96B4-071614144EBE}"/>
    <cellStyle name="40% - Accent1 7 5" xfId="18472" xr:uid="{E1A4A0A1-E370-4014-BA28-D86A6372C238}"/>
    <cellStyle name="40% - Accent1 8" xfId="1899" xr:uid="{00000000-0005-0000-0000-00005A040000}"/>
    <cellStyle name="40% - Accent1 8 2" xfId="4128" xr:uid="{00000000-0005-0000-0000-00005B040000}"/>
    <cellStyle name="40% - Accent1 8 2 2" xfId="8350" xr:uid="{00000000-0005-0000-0000-00005C040000}"/>
    <cellStyle name="40% - Accent1 8 2 2 2" xfId="16800" xr:uid="{BB57969C-16B0-4918-91D7-50419C54FB72}"/>
    <cellStyle name="40% - Accent1 8 2 2 3" xfId="25247" xr:uid="{55B6902A-F6A0-4390-82FC-873216EF1FF6}"/>
    <cellStyle name="40% - Accent1 8 2 3" xfId="12582" xr:uid="{1E36D85E-28A2-40B4-A89B-458188721C70}"/>
    <cellStyle name="40% - Accent1 8 2 4" xfId="21030" xr:uid="{301B9E56-5E65-4B65-8772-C3FCF36D69FF}"/>
    <cellStyle name="40% - Accent1 8 3" xfId="6205" xr:uid="{00000000-0005-0000-0000-00005D040000}"/>
    <cellStyle name="40% - Accent1 8 3 2" xfId="14655" xr:uid="{33E12176-0BB5-4850-8B34-836FD383F5DD}"/>
    <cellStyle name="40% - Accent1 8 3 3" xfId="23102" xr:uid="{ADCDB898-2597-46FB-97D4-C6C041B46F0E}"/>
    <cellStyle name="40% - Accent1 8 4" xfId="10437" xr:uid="{EF18FD49-C849-4E85-8758-7D1A0E1E8F83}"/>
    <cellStyle name="40% - Accent1 8 5" xfId="18885" xr:uid="{DB870590-1510-47FD-BE83-2BB9BDD4C58B}"/>
    <cellStyle name="40% - Accent1 9" xfId="2312" xr:uid="{00000000-0005-0000-0000-00005E040000}"/>
    <cellStyle name="40% - Accent1 9 2" xfId="6618" xr:uid="{00000000-0005-0000-0000-00005F040000}"/>
    <cellStyle name="40% - Accent1 9 2 2" xfId="15068" xr:uid="{B4F8EF26-860F-4015-9407-4F666165B7B8}"/>
    <cellStyle name="40% - Accent1 9 2 3" xfId="23515" xr:uid="{C8EC1812-13C6-47FE-938C-AD8921D73E23}"/>
    <cellStyle name="40% - Accent1 9 3" xfId="10850" xr:uid="{ED92CEBB-CB0F-4B3C-9D79-0B4DAFCCDE20}"/>
    <cellStyle name="40% - Accent1 9 4" xfId="19298" xr:uid="{8F8ADBDC-72E4-45FF-9776-B47FC20349DF}"/>
    <cellStyle name="40% - Accent2" xfId="57" builtinId="35" customBuiltin="1"/>
    <cellStyle name="40% - Accent2 10" xfId="4560" xr:uid="{00000000-0005-0000-0000-000061040000}"/>
    <cellStyle name="40% - Accent2 10 2" xfId="13010" xr:uid="{861876F1-79BD-4780-B20B-59B8C3AEA990}"/>
    <cellStyle name="40% - Accent2 10 3" xfId="21457" xr:uid="{08AAB2BE-59B9-4112-8D07-8786FAD38FBE}"/>
    <cellStyle name="40% - Accent2 11" xfId="8792" xr:uid="{73DE2B0A-4849-4399-B84F-AC68415E4495}"/>
    <cellStyle name="40% - Accent2 12" xfId="17240" xr:uid="{F6854E25-986B-4A4C-AD3E-1AD0BF33F945}"/>
    <cellStyle name="40% - Accent2 2" xfId="58" xr:uid="{00000000-0005-0000-0000-000062040000}"/>
    <cellStyle name="40% - Accent2 2 10" xfId="8793" xr:uid="{4840C2B0-0A64-417B-B98E-FCC98791A143}"/>
    <cellStyle name="40% - Accent2 2 11" xfId="17241" xr:uid="{C5A05632-9793-4337-93CD-5D753D4B76B3}"/>
    <cellStyle name="40% - Accent2 2 2" xfId="59" xr:uid="{00000000-0005-0000-0000-000063040000}"/>
    <cellStyle name="40% - Accent2 2 2 10" xfId="17242" xr:uid="{DEB204B3-28C0-47A6-A7AF-7D959F80A946}"/>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2 2 2" xfId="15572" xr:uid="{688BBEED-A346-4797-84DD-5AAD60BE37C5}"/>
    <cellStyle name="40% - Accent2 2 2 2 2 2 2 3" xfId="24019" xr:uid="{9CA7039F-2C4C-4571-8751-5FA695D30D49}"/>
    <cellStyle name="40% - Accent2 2 2 2 2 2 3" xfId="11354" xr:uid="{D24F4723-CE3E-4443-A26E-35A1226932E2}"/>
    <cellStyle name="40% - Accent2 2 2 2 2 2 4" xfId="19802" xr:uid="{3DAF6A17-1C59-4F2E-B44C-6B8A640F0ED8}"/>
    <cellStyle name="40% - Accent2 2 2 2 2 3" xfId="4977" xr:uid="{00000000-0005-0000-0000-000068040000}"/>
    <cellStyle name="40% - Accent2 2 2 2 2 3 2" xfId="13427" xr:uid="{95B866B6-8BEE-488A-918D-23F13516D73B}"/>
    <cellStyle name="40% - Accent2 2 2 2 2 3 3" xfId="21874" xr:uid="{88FE5FA0-1078-4270-8FCE-5E42C631AA42}"/>
    <cellStyle name="40% - Accent2 2 2 2 2 4" xfId="9209" xr:uid="{ACDA26B7-DE78-4FA8-B6D8-542A4110B0B8}"/>
    <cellStyle name="40% - Accent2 2 2 2 2 5" xfId="17657" xr:uid="{BF5B8E37-8B69-4EFF-8F91-E433F9ED3E5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2 2 2" xfId="15985" xr:uid="{373F4A11-92D7-4552-9B0E-72748368DF6F}"/>
    <cellStyle name="40% - Accent2 2 2 2 3 2 2 3" xfId="24432" xr:uid="{E57269F5-3F23-42B7-88B6-FEA6070E2782}"/>
    <cellStyle name="40% - Accent2 2 2 2 3 2 3" xfId="11767" xr:uid="{9D508DC4-E0C4-4749-B3C3-F284B6D29D1E}"/>
    <cellStyle name="40% - Accent2 2 2 2 3 2 4" xfId="20215" xr:uid="{D12A12F6-D50E-4653-85AB-F397D6A0717C}"/>
    <cellStyle name="40% - Accent2 2 2 2 3 3" xfId="5390" xr:uid="{00000000-0005-0000-0000-00006C040000}"/>
    <cellStyle name="40% - Accent2 2 2 2 3 3 2" xfId="13840" xr:uid="{9CAAE9D3-1A7F-424C-9A66-69E4FB74ADF4}"/>
    <cellStyle name="40% - Accent2 2 2 2 3 3 3" xfId="22287" xr:uid="{B21465DB-0DDA-48AF-8C1D-A2485BB18D83}"/>
    <cellStyle name="40% - Accent2 2 2 2 3 4" xfId="9622" xr:uid="{43A55C9F-6B9A-41E2-A191-C970D0D98DF8}"/>
    <cellStyle name="40% - Accent2 2 2 2 3 5" xfId="18070" xr:uid="{EC0377CA-7563-4BB4-AB39-6696D27C3E82}"/>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2 2 2" xfId="16398" xr:uid="{F2B59B2F-357F-4FA9-B188-0C4AAA2E3657}"/>
    <cellStyle name="40% - Accent2 2 2 2 4 2 2 3" xfId="24845" xr:uid="{72D5F738-3C7D-4FFC-9C55-321EF841FBBF}"/>
    <cellStyle name="40% - Accent2 2 2 2 4 2 3" xfId="12180" xr:uid="{271D3812-9BE2-4F59-9FDA-D4BE86AFCBA9}"/>
    <cellStyle name="40% - Accent2 2 2 2 4 2 4" xfId="20628" xr:uid="{65701A3D-79D9-455E-8476-8BD26EA22843}"/>
    <cellStyle name="40% - Accent2 2 2 2 4 3" xfId="5803" xr:uid="{00000000-0005-0000-0000-000070040000}"/>
    <cellStyle name="40% - Accent2 2 2 2 4 3 2" xfId="14253" xr:uid="{258B6037-112D-403D-A74A-B6FA7F2668BB}"/>
    <cellStyle name="40% - Accent2 2 2 2 4 3 3" xfId="22700" xr:uid="{FD074C90-33E9-44F0-8BCF-31FA23ADA5A6}"/>
    <cellStyle name="40% - Accent2 2 2 2 4 4" xfId="10035" xr:uid="{06D24EB2-A164-4419-A7A0-3D380990FAE5}"/>
    <cellStyle name="40% - Accent2 2 2 2 4 5" xfId="18483" xr:uid="{7C330DBB-A824-496E-AC5C-7C9BE94BFADD}"/>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2 2 2" xfId="16811" xr:uid="{3DC273B0-FE23-457C-8032-E6E354062B11}"/>
    <cellStyle name="40% - Accent2 2 2 2 5 2 2 3" xfId="25258" xr:uid="{0621C223-6940-4F7B-817A-9B49CAF3D7AD}"/>
    <cellStyle name="40% - Accent2 2 2 2 5 2 3" xfId="12593" xr:uid="{6C83F432-E8F0-4632-B9D5-2467F77B0885}"/>
    <cellStyle name="40% - Accent2 2 2 2 5 2 4" xfId="21041" xr:uid="{868B285C-C2E0-4B71-88F3-BB3987E84C75}"/>
    <cellStyle name="40% - Accent2 2 2 2 5 3" xfId="6216" xr:uid="{00000000-0005-0000-0000-000074040000}"/>
    <cellStyle name="40% - Accent2 2 2 2 5 3 2" xfId="14666" xr:uid="{D59551D6-0F82-4F4A-99FC-79BDAA32E0F4}"/>
    <cellStyle name="40% - Accent2 2 2 2 5 3 3" xfId="23113" xr:uid="{B6B3F6D4-343C-4DFA-9142-98C40E4E69B5}"/>
    <cellStyle name="40% - Accent2 2 2 2 5 4" xfId="10448" xr:uid="{376984DA-2280-4638-B97E-98106919658A}"/>
    <cellStyle name="40% - Accent2 2 2 2 5 5" xfId="18896" xr:uid="{9E04E69B-4753-4A18-9EB7-2FF139481744}"/>
    <cellStyle name="40% - Accent2 2 2 2 6" xfId="2323" xr:uid="{00000000-0005-0000-0000-000075040000}"/>
    <cellStyle name="40% - Accent2 2 2 2 6 2" xfId="6629" xr:uid="{00000000-0005-0000-0000-000076040000}"/>
    <cellStyle name="40% - Accent2 2 2 2 6 2 2" xfId="15079" xr:uid="{14A21A73-EFE5-4E01-8443-8211F1B28F61}"/>
    <cellStyle name="40% - Accent2 2 2 2 6 2 3" xfId="23526" xr:uid="{3BA7B7A8-FE64-4FA5-9E63-8322C866C3BB}"/>
    <cellStyle name="40% - Accent2 2 2 2 6 3" xfId="10861" xr:uid="{E229CBA4-795E-4386-A817-85204826AA16}"/>
    <cellStyle name="40% - Accent2 2 2 2 6 4" xfId="19309" xr:uid="{5B5070CC-B9BE-4DAC-B249-B6E08A639C7F}"/>
    <cellStyle name="40% - Accent2 2 2 2 7" xfId="4563" xr:uid="{00000000-0005-0000-0000-000077040000}"/>
    <cellStyle name="40% - Accent2 2 2 2 7 2" xfId="13013" xr:uid="{A593CE82-ED84-4F4B-84EA-0267832F1DAA}"/>
    <cellStyle name="40% - Accent2 2 2 2 7 3" xfId="21460" xr:uid="{C5655DCA-59A9-4DDD-8C78-0F5CD0D479EE}"/>
    <cellStyle name="40% - Accent2 2 2 2 8" xfId="8795" xr:uid="{2DC169AD-082F-4046-9D72-726D81DAC606}"/>
    <cellStyle name="40% - Accent2 2 2 2 9" xfId="17243" xr:uid="{CDB5A618-3F77-420F-AC95-7C1C4C0278F8}"/>
    <cellStyle name="40% - Accent2 2 2 3" xfId="628" xr:uid="{00000000-0005-0000-0000-000078040000}"/>
    <cellStyle name="40% - Accent2 2 2 3 2" xfId="2899" xr:uid="{00000000-0005-0000-0000-000079040000}"/>
    <cellStyle name="40% - Accent2 2 2 3 2 2" xfId="7121" xr:uid="{00000000-0005-0000-0000-00007A040000}"/>
    <cellStyle name="40% - Accent2 2 2 3 2 2 2" xfId="15571" xr:uid="{9F47EEB5-4CD7-45D6-A9E9-09257C17F791}"/>
    <cellStyle name="40% - Accent2 2 2 3 2 2 3" xfId="24018" xr:uid="{E1525303-5ADC-46F9-94D4-D84AE0158CB7}"/>
    <cellStyle name="40% - Accent2 2 2 3 2 3" xfId="11353" xr:uid="{B92BB09A-BFE7-4C54-8BB6-7503C9D58863}"/>
    <cellStyle name="40% - Accent2 2 2 3 2 4" xfId="19801" xr:uid="{291C2721-BFC5-4F56-9A4B-AB981747B41A}"/>
    <cellStyle name="40% - Accent2 2 2 3 3" xfId="4976" xr:uid="{00000000-0005-0000-0000-00007B040000}"/>
    <cellStyle name="40% - Accent2 2 2 3 3 2" xfId="13426" xr:uid="{57681019-2E61-45D0-9209-2C8A7A66E737}"/>
    <cellStyle name="40% - Accent2 2 2 3 3 3" xfId="21873" xr:uid="{3958EBC2-D933-44B3-A37F-EC63969E4EDF}"/>
    <cellStyle name="40% - Accent2 2 2 3 4" xfId="9208" xr:uid="{50BB63BA-3A43-4B2B-BEDE-1FEAD94720BF}"/>
    <cellStyle name="40% - Accent2 2 2 3 5" xfId="17656" xr:uid="{C41689A7-F406-4A2A-9999-AF4E8B8BBC15}"/>
    <cellStyle name="40% - Accent2 2 2 4" xfId="1081" xr:uid="{00000000-0005-0000-0000-00007C040000}"/>
    <cellStyle name="40% - Accent2 2 2 4 2" xfId="3312" xr:uid="{00000000-0005-0000-0000-00007D040000}"/>
    <cellStyle name="40% - Accent2 2 2 4 2 2" xfId="7534" xr:uid="{00000000-0005-0000-0000-00007E040000}"/>
    <cellStyle name="40% - Accent2 2 2 4 2 2 2" xfId="15984" xr:uid="{3451AF96-A2D0-4C4C-ACE9-3D075CBE7B18}"/>
    <cellStyle name="40% - Accent2 2 2 4 2 2 3" xfId="24431" xr:uid="{F27A397C-4718-4C16-9751-BFCC0CC15EB7}"/>
    <cellStyle name="40% - Accent2 2 2 4 2 3" xfId="11766" xr:uid="{9969F3C3-173B-481F-9112-37BBBD80DEA0}"/>
    <cellStyle name="40% - Accent2 2 2 4 2 4" xfId="20214" xr:uid="{213102AD-2606-4BA4-8F87-DE8E5691248B}"/>
    <cellStyle name="40% - Accent2 2 2 4 3" xfId="5389" xr:uid="{00000000-0005-0000-0000-00007F040000}"/>
    <cellStyle name="40% - Accent2 2 2 4 3 2" xfId="13839" xr:uid="{35F4912D-FF8A-4AC4-90DE-10FB0951EF8E}"/>
    <cellStyle name="40% - Accent2 2 2 4 3 3" xfId="22286" xr:uid="{F85C9A6C-7B5D-4081-A9DC-357FC1E4EB09}"/>
    <cellStyle name="40% - Accent2 2 2 4 4" xfId="9621" xr:uid="{54BE3731-DC38-4094-AE19-A73FA65B7C69}"/>
    <cellStyle name="40% - Accent2 2 2 4 5" xfId="18069" xr:uid="{8333502D-3C6C-4BF3-96CC-99B30F64329A}"/>
    <cellStyle name="40% - Accent2 2 2 5" xfId="1495" xr:uid="{00000000-0005-0000-0000-000080040000}"/>
    <cellStyle name="40% - Accent2 2 2 5 2" xfId="3725" xr:uid="{00000000-0005-0000-0000-000081040000}"/>
    <cellStyle name="40% - Accent2 2 2 5 2 2" xfId="7947" xr:uid="{00000000-0005-0000-0000-000082040000}"/>
    <cellStyle name="40% - Accent2 2 2 5 2 2 2" xfId="16397" xr:uid="{2852FB1B-15D3-426E-B700-D150BBA49E76}"/>
    <cellStyle name="40% - Accent2 2 2 5 2 2 3" xfId="24844" xr:uid="{124C8970-D385-4F93-AF34-9F926C801C9B}"/>
    <cellStyle name="40% - Accent2 2 2 5 2 3" xfId="12179" xr:uid="{064B6BDE-D407-4BF6-AFD6-6FE7BE7A9816}"/>
    <cellStyle name="40% - Accent2 2 2 5 2 4" xfId="20627" xr:uid="{485998FC-C032-46B3-83D1-EF52E50EE57C}"/>
    <cellStyle name="40% - Accent2 2 2 5 3" xfId="5802" xr:uid="{00000000-0005-0000-0000-000083040000}"/>
    <cellStyle name="40% - Accent2 2 2 5 3 2" xfId="14252" xr:uid="{D32BB728-2908-4B41-A758-F762B3802E04}"/>
    <cellStyle name="40% - Accent2 2 2 5 3 3" xfId="22699" xr:uid="{6F159204-D67E-47D7-AAF8-7CFF3CF6656D}"/>
    <cellStyle name="40% - Accent2 2 2 5 4" xfId="10034" xr:uid="{1A3B06D9-1AB9-4555-A090-91C77696D980}"/>
    <cellStyle name="40% - Accent2 2 2 5 5" xfId="18482" xr:uid="{CF851437-FC57-490F-998C-C92A35073500}"/>
    <cellStyle name="40% - Accent2 2 2 6" xfId="1909" xr:uid="{00000000-0005-0000-0000-000084040000}"/>
    <cellStyle name="40% - Accent2 2 2 6 2" xfId="4138" xr:uid="{00000000-0005-0000-0000-000085040000}"/>
    <cellStyle name="40% - Accent2 2 2 6 2 2" xfId="8360" xr:uid="{00000000-0005-0000-0000-000086040000}"/>
    <cellStyle name="40% - Accent2 2 2 6 2 2 2" xfId="16810" xr:uid="{7A3FB7BB-1453-4FDF-82CA-35975D65CFFD}"/>
    <cellStyle name="40% - Accent2 2 2 6 2 2 3" xfId="25257" xr:uid="{5FDA56AE-E77A-4D3D-8CC1-3575F080B842}"/>
    <cellStyle name="40% - Accent2 2 2 6 2 3" xfId="12592" xr:uid="{2102D83E-D18D-4865-846F-7AC35C994BA4}"/>
    <cellStyle name="40% - Accent2 2 2 6 2 4" xfId="21040" xr:uid="{855F12C3-AF57-4825-8E28-D7A339A45963}"/>
    <cellStyle name="40% - Accent2 2 2 6 3" xfId="6215" xr:uid="{00000000-0005-0000-0000-000087040000}"/>
    <cellStyle name="40% - Accent2 2 2 6 3 2" xfId="14665" xr:uid="{356619FE-F51E-42F5-ABBF-21484A35BCAF}"/>
    <cellStyle name="40% - Accent2 2 2 6 3 3" xfId="23112" xr:uid="{DE63734C-A824-45A9-9683-BB09B0B12B99}"/>
    <cellStyle name="40% - Accent2 2 2 6 4" xfId="10447" xr:uid="{92ABABA7-90EC-43DD-8427-63BF6B2B2989}"/>
    <cellStyle name="40% - Accent2 2 2 6 5" xfId="18895" xr:uid="{DA3259CC-03E2-41AC-845F-04EB14D3AC59}"/>
    <cellStyle name="40% - Accent2 2 2 7" xfId="2322" xr:uid="{00000000-0005-0000-0000-000088040000}"/>
    <cellStyle name="40% - Accent2 2 2 7 2" xfId="6628" xr:uid="{00000000-0005-0000-0000-000089040000}"/>
    <cellStyle name="40% - Accent2 2 2 7 2 2" xfId="15078" xr:uid="{F560A22A-C1C5-4D23-928B-6701CD451F09}"/>
    <cellStyle name="40% - Accent2 2 2 7 2 3" xfId="23525" xr:uid="{94E9CE66-BBD2-4535-99AC-7FBB39FAB2FD}"/>
    <cellStyle name="40% - Accent2 2 2 7 3" xfId="10860" xr:uid="{E2A1D228-5FED-4F17-9B76-BE547BA3D38E}"/>
    <cellStyle name="40% - Accent2 2 2 7 4" xfId="19308" xr:uid="{B6B362E7-D47D-4E59-B599-E02F73385E35}"/>
    <cellStyle name="40% - Accent2 2 2 8" xfId="4562" xr:uid="{00000000-0005-0000-0000-00008A040000}"/>
    <cellStyle name="40% - Accent2 2 2 8 2" xfId="13012" xr:uid="{F7C1D759-6071-449A-A841-BFB9061388A9}"/>
    <cellStyle name="40% - Accent2 2 2 8 3" xfId="21459" xr:uid="{9ABA22AB-FA89-4F2F-AB8D-C77601D2DE41}"/>
    <cellStyle name="40% - Accent2 2 2 9" xfId="8794" xr:uid="{EC21F39F-16BE-44D0-8ED9-5DF1513520A5}"/>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2 2 2" xfId="15573" xr:uid="{C7354DE9-B7E3-40D2-A566-3B4948642640}"/>
    <cellStyle name="40% - Accent2 2 3 2 2 2 3" xfId="24020" xr:uid="{9E86A7BE-8E5E-419F-AFD7-23F3DBA04CEE}"/>
    <cellStyle name="40% - Accent2 2 3 2 2 3" xfId="11355" xr:uid="{3088C65C-761D-4B19-9D5B-AFE1177804A0}"/>
    <cellStyle name="40% - Accent2 2 3 2 2 4" xfId="19803" xr:uid="{359D5361-E12A-4EB9-9AE8-EA9FE7FD19F1}"/>
    <cellStyle name="40% - Accent2 2 3 2 3" xfId="4978" xr:uid="{00000000-0005-0000-0000-00008F040000}"/>
    <cellStyle name="40% - Accent2 2 3 2 3 2" xfId="13428" xr:uid="{7270946A-5323-41AC-BB64-6B05B8869C3A}"/>
    <cellStyle name="40% - Accent2 2 3 2 3 3" xfId="21875" xr:uid="{2DBE450D-023E-48A1-86E1-B582506E1052}"/>
    <cellStyle name="40% - Accent2 2 3 2 4" xfId="9210" xr:uid="{BF59F6FF-17DD-4A41-8F4F-5D871FCF77F8}"/>
    <cellStyle name="40% - Accent2 2 3 2 5" xfId="17658" xr:uid="{08CB6E30-B01A-4F0F-8E75-78C6E764D922}"/>
    <cellStyle name="40% - Accent2 2 3 3" xfId="1083" xr:uid="{00000000-0005-0000-0000-000090040000}"/>
    <cellStyle name="40% - Accent2 2 3 3 2" xfId="3314" xr:uid="{00000000-0005-0000-0000-000091040000}"/>
    <cellStyle name="40% - Accent2 2 3 3 2 2" xfId="7536" xr:uid="{00000000-0005-0000-0000-000092040000}"/>
    <cellStyle name="40% - Accent2 2 3 3 2 2 2" xfId="15986" xr:uid="{29310FCA-6DFE-4906-A46A-2C78BF339727}"/>
    <cellStyle name="40% - Accent2 2 3 3 2 2 3" xfId="24433" xr:uid="{F1A3848C-EE37-4570-804F-216C366211E4}"/>
    <cellStyle name="40% - Accent2 2 3 3 2 3" xfId="11768" xr:uid="{5060DF3E-C661-4C9B-BB57-2E0F107FD9B6}"/>
    <cellStyle name="40% - Accent2 2 3 3 2 4" xfId="20216" xr:uid="{DF0F9FD6-1716-417C-BC3C-D017500F38F5}"/>
    <cellStyle name="40% - Accent2 2 3 3 3" xfId="5391" xr:uid="{00000000-0005-0000-0000-000093040000}"/>
    <cellStyle name="40% - Accent2 2 3 3 3 2" xfId="13841" xr:uid="{0B37A2AC-7B90-46D6-A51B-B3848AB4F62C}"/>
    <cellStyle name="40% - Accent2 2 3 3 3 3" xfId="22288" xr:uid="{8552CFF6-2304-49DC-A044-AF2148234495}"/>
    <cellStyle name="40% - Accent2 2 3 3 4" xfId="9623" xr:uid="{FA4138CD-8495-4F23-A5E6-8FFF9A8E8F83}"/>
    <cellStyle name="40% - Accent2 2 3 3 5" xfId="18071" xr:uid="{D9C2BF36-EA6D-4401-9E1E-4792441143BE}"/>
    <cellStyle name="40% - Accent2 2 3 4" xfId="1497" xr:uid="{00000000-0005-0000-0000-000094040000}"/>
    <cellStyle name="40% - Accent2 2 3 4 2" xfId="3727" xr:uid="{00000000-0005-0000-0000-000095040000}"/>
    <cellStyle name="40% - Accent2 2 3 4 2 2" xfId="7949" xr:uid="{00000000-0005-0000-0000-000096040000}"/>
    <cellStyle name="40% - Accent2 2 3 4 2 2 2" xfId="16399" xr:uid="{99188428-4544-4C2E-BBB7-AEEEA365BD24}"/>
    <cellStyle name="40% - Accent2 2 3 4 2 2 3" xfId="24846" xr:uid="{583E0C1F-07D2-4216-AAB5-141C32C929BA}"/>
    <cellStyle name="40% - Accent2 2 3 4 2 3" xfId="12181" xr:uid="{BB255C1A-7544-4AD9-9BDD-1860EB4FF7AE}"/>
    <cellStyle name="40% - Accent2 2 3 4 2 4" xfId="20629" xr:uid="{9AB02EF4-13D1-4C25-9E6D-7ACCB030336A}"/>
    <cellStyle name="40% - Accent2 2 3 4 3" xfId="5804" xr:uid="{00000000-0005-0000-0000-000097040000}"/>
    <cellStyle name="40% - Accent2 2 3 4 3 2" xfId="14254" xr:uid="{A994E866-6C48-48C4-8B91-248A4EDA1C2C}"/>
    <cellStyle name="40% - Accent2 2 3 4 3 3" xfId="22701" xr:uid="{BACECA97-3E8E-410D-8A5B-EC92684BD7A1}"/>
    <cellStyle name="40% - Accent2 2 3 4 4" xfId="10036" xr:uid="{1960C46C-E5F6-44B8-8A78-A149E97DB592}"/>
    <cellStyle name="40% - Accent2 2 3 4 5" xfId="18484" xr:uid="{263140A5-D685-4053-9A20-185FA066C134}"/>
    <cellStyle name="40% - Accent2 2 3 5" xfId="1911" xr:uid="{00000000-0005-0000-0000-000098040000}"/>
    <cellStyle name="40% - Accent2 2 3 5 2" xfId="4140" xr:uid="{00000000-0005-0000-0000-000099040000}"/>
    <cellStyle name="40% - Accent2 2 3 5 2 2" xfId="8362" xr:uid="{00000000-0005-0000-0000-00009A040000}"/>
    <cellStyle name="40% - Accent2 2 3 5 2 2 2" xfId="16812" xr:uid="{3491E0B3-E7D6-418D-8E28-434F8D29FAAB}"/>
    <cellStyle name="40% - Accent2 2 3 5 2 2 3" xfId="25259" xr:uid="{782777ED-084F-443B-99D5-521962C4C31E}"/>
    <cellStyle name="40% - Accent2 2 3 5 2 3" xfId="12594" xr:uid="{4D36067C-17DC-4474-8506-5B9F0E2B564C}"/>
    <cellStyle name="40% - Accent2 2 3 5 2 4" xfId="21042" xr:uid="{A009125F-B1CA-4A58-A3ED-7B6800114235}"/>
    <cellStyle name="40% - Accent2 2 3 5 3" xfId="6217" xr:uid="{00000000-0005-0000-0000-00009B040000}"/>
    <cellStyle name="40% - Accent2 2 3 5 3 2" xfId="14667" xr:uid="{670C1636-69EA-4DD1-8656-7F33351F8543}"/>
    <cellStyle name="40% - Accent2 2 3 5 3 3" xfId="23114" xr:uid="{CC305CCA-7140-4EB9-AD5D-A5ABAB098EE3}"/>
    <cellStyle name="40% - Accent2 2 3 5 4" xfId="10449" xr:uid="{1716D350-B5E5-4E5F-8142-028322ADD010}"/>
    <cellStyle name="40% - Accent2 2 3 5 5" xfId="18897" xr:uid="{A1A0A957-4218-4123-8986-A527A0D0B973}"/>
    <cellStyle name="40% - Accent2 2 3 6" xfId="2324" xr:uid="{00000000-0005-0000-0000-00009C040000}"/>
    <cellStyle name="40% - Accent2 2 3 6 2" xfId="6630" xr:uid="{00000000-0005-0000-0000-00009D040000}"/>
    <cellStyle name="40% - Accent2 2 3 6 2 2" xfId="15080" xr:uid="{C3B5E756-C2A9-4443-A1F7-4C0E10AE1C16}"/>
    <cellStyle name="40% - Accent2 2 3 6 2 3" xfId="23527" xr:uid="{A9226BB1-DD5C-4C10-A5E0-298270F5A5BD}"/>
    <cellStyle name="40% - Accent2 2 3 6 3" xfId="10862" xr:uid="{5E274A1C-4BEE-4135-BD9A-37F490F09254}"/>
    <cellStyle name="40% - Accent2 2 3 6 4" xfId="19310" xr:uid="{FC995EB4-867E-47E9-B7B8-057E398756DF}"/>
    <cellStyle name="40% - Accent2 2 3 7" xfId="4564" xr:uid="{00000000-0005-0000-0000-00009E040000}"/>
    <cellStyle name="40% - Accent2 2 3 7 2" xfId="13014" xr:uid="{FC1085A0-D9C4-445D-9BB6-C7D828F60CC7}"/>
    <cellStyle name="40% - Accent2 2 3 7 3" xfId="21461" xr:uid="{EBAB66EB-F41E-44A7-A006-3C85C97B8808}"/>
    <cellStyle name="40% - Accent2 2 3 8" xfId="8796" xr:uid="{0A2FA3DB-B4AF-4BC1-8D5F-9A80D8837471}"/>
    <cellStyle name="40% - Accent2 2 3 9" xfId="17244" xr:uid="{180B60DC-6091-45A2-8881-BE6A6B2130E1}"/>
    <cellStyle name="40% - Accent2 2 4" xfId="627" xr:uid="{00000000-0005-0000-0000-00009F040000}"/>
    <cellStyle name="40% - Accent2 2 4 2" xfId="2898" xr:uid="{00000000-0005-0000-0000-0000A0040000}"/>
    <cellStyle name="40% - Accent2 2 4 2 2" xfId="7120" xr:uid="{00000000-0005-0000-0000-0000A1040000}"/>
    <cellStyle name="40% - Accent2 2 4 2 2 2" xfId="15570" xr:uid="{ED8A5FB4-1850-4C44-B02B-C93604400162}"/>
    <cellStyle name="40% - Accent2 2 4 2 2 3" xfId="24017" xr:uid="{8F83B27B-43E1-4B8C-BC47-7988D1C100BC}"/>
    <cellStyle name="40% - Accent2 2 4 2 3" xfId="11352" xr:uid="{3D1A6A4E-ED9A-4C92-B651-4FBD27FBD479}"/>
    <cellStyle name="40% - Accent2 2 4 2 4" xfId="19800" xr:uid="{15C28268-3206-4B04-AFBF-580C80FD7EF9}"/>
    <cellStyle name="40% - Accent2 2 4 3" xfId="4975" xr:uid="{00000000-0005-0000-0000-0000A2040000}"/>
    <cellStyle name="40% - Accent2 2 4 3 2" xfId="13425" xr:uid="{1137A9E5-103E-45B9-803F-8A257ED0BEDD}"/>
    <cellStyle name="40% - Accent2 2 4 3 3" xfId="21872" xr:uid="{BC7D1CED-FDA9-42C6-B8CD-02F9BFD3FC06}"/>
    <cellStyle name="40% - Accent2 2 4 4" xfId="9207" xr:uid="{8C65A646-AA77-422B-8BB8-F9585EF0D207}"/>
    <cellStyle name="40% - Accent2 2 4 5" xfId="17655" xr:uid="{AC77501A-096D-4469-AF61-0C0569B66ECB}"/>
    <cellStyle name="40% - Accent2 2 5" xfId="1080" xr:uid="{00000000-0005-0000-0000-0000A3040000}"/>
    <cellStyle name="40% - Accent2 2 5 2" xfId="3311" xr:uid="{00000000-0005-0000-0000-0000A4040000}"/>
    <cellStyle name="40% - Accent2 2 5 2 2" xfId="7533" xr:uid="{00000000-0005-0000-0000-0000A5040000}"/>
    <cellStyle name="40% - Accent2 2 5 2 2 2" xfId="15983" xr:uid="{F2C316E4-445C-4043-AD3B-C31597E11A74}"/>
    <cellStyle name="40% - Accent2 2 5 2 2 3" xfId="24430" xr:uid="{7251F907-EE86-4422-B61A-26724A23B010}"/>
    <cellStyle name="40% - Accent2 2 5 2 3" xfId="11765" xr:uid="{C67DD3D9-FD7B-4F8C-A491-2C4C434840C2}"/>
    <cellStyle name="40% - Accent2 2 5 2 4" xfId="20213" xr:uid="{7E85BF07-0B47-412E-AA6C-5F3086DC3A96}"/>
    <cellStyle name="40% - Accent2 2 5 3" xfId="5388" xr:uid="{00000000-0005-0000-0000-0000A6040000}"/>
    <cellStyle name="40% - Accent2 2 5 3 2" xfId="13838" xr:uid="{8B7BEC8D-4F33-4DD1-B5D4-3717CD6A47FC}"/>
    <cellStyle name="40% - Accent2 2 5 3 3" xfId="22285" xr:uid="{9C6D6D42-D2C6-4C0C-9734-18479690E365}"/>
    <cellStyle name="40% - Accent2 2 5 4" xfId="9620" xr:uid="{AFA091AA-88CA-4699-9215-DF029E212EE2}"/>
    <cellStyle name="40% - Accent2 2 5 5" xfId="18068" xr:uid="{C6670BB1-E408-432A-A642-ED5FBF6633FF}"/>
    <cellStyle name="40% - Accent2 2 6" xfId="1494" xr:uid="{00000000-0005-0000-0000-0000A7040000}"/>
    <cellStyle name="40% - Accent2 2 6 2" xfId="3724" xr:uid="{00000000-0005-0000-0000-0000A8040000}"/>
    <cellStyle name="40% - Accent2 2 6 2 2" xfId="7946" xr:uid="{00000000-0005-0000-0000-0000A9040000}"/>
    <cellStyle name="40% - Accent2 2 6 2 2 2" xfId="16396" xr:uid="{7FA71DB6-6587-4049-A913-D3BCF624B0AA}"/>
    <cellStyle name="40% - Accent2 2 6 2 2 3" xfId="24843" xr:uid="{FDCC6C11-1826-4851-9DCA-07C6F563BD3E}"/>
    <cellStyle name="40% - Accent2 2 6 2 3" xfId="12178" xr:uid="{67B1F2C8-CF6E-42CA-BC09-482D1DF237AE}"/>
    <cellStyle name="40% - Accent2 2 6 2 4" xfId="20626" xr:uid="{0E03AAB1-EAEB-455E-A34D-2C541404CE82}"/>
    <cellStyle name="40% - Accent2 2 6 3" xfId="5801" xr:uid="{00000000-0005-0000-0000-0000AA040000}"/>
    <cellStyle name="40% - Accent2 2 6 3 2" xfId="14251" xr:uid="{CAEA6048-8C86-4E86-823E-84347035DEE4}"/>
    <cellStyle name="40% - Accent2 2 6 3 3" xfId="22698" xr:uid="{BEF2961D-777C-4AFA-B95B-4C3881C15443}"/>
    <cellStyle name="40% - Accent2 2 6 4" xfId="10033" xr:uid="{F07B516F-C79F-4587-B222-6A4ACB841951}"/>
    <cellStyle name="40% - Accent2 2 6 5" xfId="18481" xr:uid="{1E28BCAC-C07A-4E4E-85B5-62E945FB39E8}"/>
    <cellStyle name="40% - Accent2 2 7" xfId="1908" xr:uid="{00000000-0005-0000-0000-0000AB040000}"/>
    <cellStyle name="40% - Accent2 2 7 2" xfId="4137" xr:uid="{00000000-0005-0000-0000-0000AC040000}"/>
    <cellStyle name="40% - Accent2 2 7 2 2" xfId="8359" xr:uid="{00000000-0005-0000-0000-0000AD040000}"/>
    <cellStyle name="40% - Accent2 2 7 2 2 2" xfId="16809" xr:uid="{0A0D202B-8D23-454B-9991-901B5AC3154B}"/>
    <cellStyle name="40% - Accent2 2 7 2 2 3" xfId="25256" xr:uid="{8F80C5E3-F2F1-429E-A957-0E12D59431E4}"/>
    <cellStyle name="40% - Accent2 2 7 2 3" xfId="12591" xr:uid="{49EFD256-5FF2-4B1E-AC7F-EE718B108941}"/>
    <cellStyle name="40% - Accent2 2 7 2 4" xfId="21039" xr:uid="{1B3C8360-E177-4EA3-87C4-8E377CCEFB89}"/>
    <cellStyle name="40% - Accent2 2 7 3" xfId="6214" xr:uid="{00000000-0005-0000-0000-0000AE040000}"/>
    <cellStyle name="40% - Accent2 2 7 3 2" xfId="14664" xr:uid="{E23531F5-7694-41D4-8E5A-627F92EB2CAB}"/>
    <cellStyle name="40% - Accent2 2 7 3 3" xfId="23111" xr:uid="{C9E44B13-62ED-41C0-8B1E-390B4B480B15}"/>
    <cellStyle name="40% - Accent2 2 7 4" xfId="10446" xr:uid="{F78FFFFB-A1D4-4661-8346-FEAA17D079E5}"/>
    <cellStyle name="40% - Accent2 2 7 5" xfId="18894" xr:uid="{F6E3A4CF-A13C-4F77-91FB-C76BF0A79E7B}"/>
    <cellStyle name="40% - Accent2 2 8" xfId="2321" xr:uid="{00000000-0005-0000-0000-0000AF040000}"/>
    <cellStyle name="40% - Accent2 2 8 2" xfId="6627" xr:uid="{00000000-0005-0000-0000-0000B0040000}"/>
    <cellStyle name="40% - Accent2 2 8 2 2" xfId="15077" xr:uid="{B7DA4FBC-225C-4E65-85FD-E7F41E07A449}"/>
    <cellStyle name="40% - Accent2 2 8 2 3" xfId="23524" xr:uid="{EA042347-DA90-46A3-8F99-01836404BDCE}"/>
    <cellStyle name="40% - Accent2 2 8 3" xfId="10859" xr:uid="{53042F74-A59D-4E9A-8599-3D01CC7647E3}"/>
    <cellStyle name="40% - Accent2 2 8 4" xfId="19307" xr:uid="{AAA37EB3-922C-4E2E-A7C4-F5D4D480FD47}"/>
    <cellStyle name="40% - Accent2 2 9" xfId="4561" xr:uid="{00000000-0005-0000-0000-0000B1040000}"/>
    <cellStyle name="40% - Accent2 2 9 2" xfId="13011" xr:uid="{A6C11776-1C7B-4A1C-B5F1-D05954451BF0}"/>
    <cellStyle name="40% - Accent2 2 9 3" xfId="21458" xr:uid="{7CEA9F83-C58B-4D5E-8E23-E91D41B1695A}"/>
    <cellStyle name="40% - Accent2 3" xfId="62" xr:uid="{00000000-0005-0000-0000-0000B2040000}"/>
    <cellStyle name="40% - Accent2 3 10" xfId="17245" xr:uid="{3BEDDA5B-70F0-4AAA-B5C0-8EE58EBCB89F}"/>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2 2 2" xfId="15575" xr:uid="{FBD28A7B-6CF7-4912-AC76-C9EADD90C495}"/>
    <cellStyle name="40% - Accent2 3 2 2 2 2 3" xfId="24022" xr:uid="{7E6A3FBF-84D8-44FF-84C6-4EDB6B5E8821}"/>
    <cellStyle name="40% - Accent2 3 2 2 2 3" xfId="11357" xr:uid="{B7671AF6-DBF0-4DC7-8710-7B87E68942A9}"/>
    <cellStyle name="40% - Accent2 3 2 2 2 4" xfId="19805" xr:uid="{CFEE18DB-AC42-410E-8F89-DA3D34180395}"/>
    <cellStyle name="40% - Accent2 3 2 2 3" xfId="4980" xr:uid="{00000000-0005-0000-0000-0000B7040000}"/>
    <cellStyle name="40% - Accent2 3 2 2 3 2" xfId="13430" xr:uid="{4C1D2581-3A52-4963-ABBC-C042BFC13BD9}"/>
    <cellStyle name="40% - Accent2 3 2 2 3 3" xfId="21877" xr:uid="{0E4F5DBA-9A9E-41A8-80AB-C36F368A500B}"/>
    <cellStyle name="40% - Accent2 3 2 2 4" xfId="9212" xr:uid="{D18C2AAB-39C3-4BEB-8C5C-32B3617F4318}"/>
    <cellStyle name="40% - Accent2 3 2 2 5" xfId="17660" xr:uid="{9A9C5EE2-83FC-4FA9-844D-7CFF0DD0EBD2}"/>
    <cellStyle name="40% - Accent2 3 2 3" xfId="1085" xr:uid="{00000000-0005-0000-0000-0000B8040000}"/>
    <cellStyle name="40% - Accent2 3 2 3 2" xfId="3316" xr:uid="{00000000-0005-0000-0000-0000B9040000}"/>
    <cellStyle name="40% - Accent2 3 2 3 2 2" xfId="7538" xr:uid="{00000000-0005-0000-0000-0000BA040000}"/>
    <cellStyle name="40% - Accent2 3 2 3 2 2 2" xfId="15988" xr:uid="{195E6C33-B8C9-4AAD-B5C9-376044CFC51A}"/>
    <cellStyle name="40% - Accent2 3 2 3 2 2 3" xfId="24435" xr:uid="{3AA488AB-025D-40A1-B383-9B40A313D767}"/>
    <cellStyle name="40% - Accent2 3 2 3 2 3" xfId="11770" xr:uid="{4497FC72-56DF-4997-98DB-D76AD609E381}"/>
    <cellStyle name="40% - Accent2 3 2 3 2 4" xfId="20218" xr:uid="{6611CDDF-BBE7-454F-9344-7565F381322F}"/>
    <cellStyle name="40% - Accent2 3 2 3 3" xfId="5393" xr:uid="{00000000-0005-0000-0000-0000BB040000}"/>
    <cellStyle name="40% - Accent2 3 2 3 3 2" xfId="13843" xr:uid="{94575FB0-BB60-46B0-A578-BBB06447E490}"/>
    <cellStyle name="40% - Accent2 3 2 3 3 3" xfId="22290" xr:uid="{A821E7BF-DE4F-49EA-A492-2C5052F50B15}"/>
    <cellStyle name="40% - Accent2 3 2 3 4" xfId="9625" xr:uid="{CA021DD7-F010-4E42-A33F-A67AC2994604}"/>
    <cellStyle name="40% - Accent2 3 2 3 5" xfId="18073" xr:uid="{D34D0E78-C810-4A44-8515-345154F66E60}"/>
    <cellStyle name="40% - Accent2 3 2 4" xfId="1499" xr:uid="{00000000-0005-0000-0000-0000BC040000}"/>
    <cellStyle name="40% - Accent2 3 2 4 2" xfId="3729" xr:uid="{00000000-0005-0000-0000-0000BD040000}"/>
    <cellStyle name="40% - Accent2 3 2 4 2 2" xfId="7951" xr:uid="{00000000-0005-0000-0000-0000BE040000}"/>
    <cellStyle name="40% - Accent2 3 2 4 2 2 2" xfId="16401" xr:uid="{0813115F-1327-43C8-BCC7-17A7BAA4532C}"/>
    <cellStyle name="40% - Accent2 3 2 4 2 2 3" xfId="24848" xr:uid="{F1BF99C0-B088-490C-9B42-5E30FFCCB5D2}"/>
    <cellStyle name="40% - Accent2 3 2 4 2 3" xfId="12183" xr:uid="{1DE1C770-AF99-4E8C-9125-6D8EB75F6499}"/>
    <cellStyle name="40% - Accent2 3 2 4 2 4" xfId="20631" xr:uid="{9327056C-F2EC-43AE-8C2C-1603B442C1E8}"/>
    <cellStyle name="40% - Accent2 3 2 4 3" xfId="5806" xr:uid="{00000000-0005-0000-0000-0000BF040000}"/>
    <cellStyle name="40% - Accent2 3 2 4 3 2" xfId="14256" xr:uid="{33E3A862-4B23-4B20-8240-562D58C28A65}"/>
    <cellStyle name="40% - Accent2 3 2 4 3 3" xfId="22703" xr:uid="{D124BBD3-C0CD-42F3-8FCA-6CE82AC00139}"/>
    <cellStyle name="40% - Accent2 3 2 4 4" xfId="10038" xr:uid="{0CDA9C23-8F1B-4A17-939F-7DF9EBD8489C}"/>
    <cellStyle name="40% - Accent2 3 2 4 5" xfId="18486" xr:uid="{B98421D5-28D9-4D31-BD00-AD219B1EEE9D}"/>
    <cellStyle name="40% - Accent2 3 2 5" xfId="1913" xr:uid="{00000000-0005-0000-0000-0000C0040000}"/>
    <cellStyle name="40% - Accent2 3 2 5 2" xfId="4142" xr:uid="{00000000-0005-0000-0000-0000C1040000}"/>
    <cellStyle name="40% - Accent2 3 2 5 2 2" xfId="8364" xr:uid="{00000000-0005-0000-0000-0000C2040000}"/>
    <cellStyle name="40% - Accent2 3 2 5 2 2 2" xfId="16814" xr:uid="{8607FCD9-12C6-4A61-A82C-E8A07251CDE7}"/>
    <cellStyle name="40% - Accent2 3 2 5 2 2 3" xfId="25261" xr:uid="{152AE827-43B4-4FA9-A891-EB1244C04EAC}"/>
    <cellStyle name="40% - Accent2 3 2 5 2 3" xfId="12596" xr:uid="{6902C0EB-BF19-430A-9F22-A113C5D20D91}"/>
    <cellStyle name="40% - Accent2 3 2 5 2 4" xfId="21044" xr:uid="{F7DF593D-8458-4489-B8EB-8B2E27752D89}"/>
    <cellStyle name="40% - Accent2 3 2 5 3" xfId="6219" xr:uid="{00000000-0005-0000-0000-0000C3040000}"/>
    <cellStyle name="40% - Accent2 3 2 5 3 2" xfId="14669" xr:uid="{EB9FBA9F-9B81-4B1F-9D82-39525496D726}"/>
    <cellStyle name="40% - Accent2 3 2 5 3 3" xfId="23116" xr:uid="{CB64E90E-AE9F-4CA6-B7FF-72BB7C0F8E13}"/>
    <cellStyle name="40% - Accent2 3 2 5 4" xfId="10451" xr:uid="{7D10B8D1-254A-4F6D-A426-A01DB316EBD5}"/>
    <cellStyle name="40% - Accent2 3 2 5 5" xfId="18899" xr:uid="{8D3FE561-B5FA-4749-BC75-AEC3181EB38C}"/>
    <cellStyle name="40% - Accent2 3 2 6" xfId="2326" xr:uid="{00000000-0005-0000-0000-0000C4040000}"/>
    <cellStyle name="40% - Accent2 3 2 6 2" xfId="6632" xr:uid="{00000000-0005-0000-0000-0000C5040000}"/>
    <cellStyle name="40% - Accent2 3 2 6 2 2" xfId="15082" xr:uid="{7B0C94E3-D205-4496-9568-B6E250512F7D}"/>
    <cellStyle name="40% - Accent2 3 2 6 2 3" xfId="23529" xr:uid="{579229C7-E8B6-47B0-B483-19CEA8FC201A}"/>
    <cellStyle name="40% - Accent2 3 2 6 3" xfId="10864" xr:uid="{B61FC343-E0CB-4929-840F-0687AB864E49}"/>
    <cellStyle name="40% - Accent2 3 2 6 4" xfId="19312" xr:uid="{B4E12E76-0F26-4F58-B269-717F9C3944BF}"/>
    <cellStyle name="40% - Accent2 3 2 7" xfId="4566" xr:uid="{00000000-0005-0000-0000-0000C6040000}"/>
    <cellStyle name="40% - Accent2 3 2 7 2" xfId="13016" xr:uid="{77E404FD-3D75-4D9D-90B5-336A15DE94E3}"/>
    <cellStyle name="40% - Accent2 3 2 7 3" xfId="21463" xr:uid="{44BA8952-D232-4474-9D0A-BDACD7C3DA66}"/>
    <cellStyle name="40% - Accent2 3 2 8" xfId="8798" xr:uid="{B6CC3587-EFF8-41C6-9BB0-5FAF26F543F1}"/>
    <cellStyle name="40% - Accent2 3 2 9" xfId="17246" xr:uid="{1CE591D8-380B-41D4-BE2E-583E26958683}"/>
    <cellStyle name="40% - Accent2 3 3" xfId="631" xr:uid="{00000000-0005-0000-0000-0000C7040000}"/>
    <cellStyle name="40% - Accent2 3 3 2" xfId="2902" xr:uid="{00000000-0005-0000-0000-0000C8040000}"/>
    <cellStyle name="40% - Accent2 3 3 2 2" xfId="7124" xr:uid="{00000000-0005-0000-0000-0000C9040000}"/>
    <cellStyle name="40% - Accent2 3 3 2 2 2" xfId="15574" xr:uid="{23EA0E79-3CD6-4FF1-B638-56A46A814397}"/>
    <cellStyle name="40% - Accent2 3 3 2 2 3" xfId="24021" xr:uid="{DF14E1AF-DDC4-4D42-957E-156602067BB4}"/>
    <cellStyle name="40% - Accent2 3 3 2 3" xfId="11356" xr:uid="{70D9F4A2-8650-4E50-A7C2-1E3A51491572}"/>
    <cellStyle name="40% - Accent2 3 3 2 4" xfId="19804" xr:uid="{58709A20-FE4F-43B0-BA31-E8476B611D3D}"/>
    <cellStyle name="40% - Accent2 3 3 3" xfId="4979" xr:uid="{00000000-0005-0000-0000-0000CA040000}"/>
    <cellStyle name="40% - Accent2 3 3 3 2" xfId="13429" xr:uid="{B300F1B4-E348-4FE0-8E59-539936AADC0A}"/>
    <cellStyle name="40% - Accent2 3 3 3 3" xfId="21876" xr:uid="{0592F92D-1239-4998-9C2E-D23B09E9D758}"/>
    <cellStyle name="40% - Accent2 3 3 4" xfId="9211" xr:uid="{A44FFD29-5DDE-4887-9D90-3CB62EC6F7AB}"/>
    <cellStyle name="40% - Accent2 3 3 5" xfId="17659" xr:uid="{0CD56263-1F93-419C-8CC3-F6CEC9957A6C}"/>
    <cellStyle name="40% - Accent2 3 4" xfId="1084" xr:uid="{00000000-0005-0000-0000-0000CB040000}"/>
    <cellStyle name="40% - Accent2 3 4 2" xfId="3315" xr:uid="{00000000-0005-0000-0000-0000CC040000}"/>
    <cellStyle name="40% - Accent2 3 4 2 2" xfId="7537" xr:uid="{00000000-0005-0000-0000-0000CD040000}"/>
    <cellStyle name="40% - Accent2 3 4 2 2 2" xfId="15987" xr:uid="{1FE91239-B0A2-4C26-B370-8923DBD8F1BC}"/>
    <cellStyle name="40% - Accent2 3 4 2 2 3" xfId="24434" xr:uid="{8EA6D04B-7DC1-4AD4-ACBF-AD7E07FA519F}"/>
    <cellStyle name="40% - Accent2 3 4 2 3" xfId="11769" xr:uid="{1EF80BCB-7178-4839-8F71-977E8E411345}"/>
    <cellStyle name="40% - Accent2 3 4 2 4" xfId="20217" xr:uid="{1EE57749-76AB-42C5-8857-61C1F2EE4170}"/>
    <cellStyle name="40% - Accent2 3 4 3" xfId="5392" xr:uid="{00000000-0005-0000-0000-0000CE040000}"/>
    <cellStyle name="40% - Accent2 3 4 3 2" xfId="13842" xr:uid="{40D34091-8189-4E0E-8BB2-8253BFB41DA3}"/>
    <cellStyle name="40% - Accent2 3 4 3 3" xfId="22289" xr:uid="{A46CC3C3-D9E0-4987-AE74-0A5120C7CDAD}"/>
    <cellStyle name="40% - Accent2 3 4 4" xfId="9624" xr:uid="{5F39C092-F92E-4FDC-B5D7-C0077AA07557}"/>
    <cellStyle name="40% - Accent2 3 4 5" xfId="18072" xr:uid="{2BBD7403-6A4E-4271-BB2C-0510AF40C2D7}"/>
    <cellStyle name="40% - Accent2 3 5" xfId="1498" xr:uid="{00000000-0005-0000-0000-0000CF040000}"/>
    <cellStyle name="40% - Accent2 3 5 2" xfId="3728" xr:uid="{00000000-0005-0000-0000-0000D0040000}"/>
    <cellStyle name="40% - Accent2 3 5 2 2" xfId="7950" xr:uid="{00000000-0005-0000-0000-0000D1040000}"/>
    <cellStyle name="40% - Accent2 3 5 2 2 2" xfId="16400" xr:uid="{B72165A6-5312-4039-B867-F2A10DB44C17}"/>
    <cellStyle name="40% - Accent2 3 5 2 2 3" xfId="24847" xr:uid="{774BC70F-1D33-4AB9-940D-07876F23A5D3}"/>
    <cellStyle name="40% - Accent2 3 5 2 3" xfId="12182" xr:uid="{FDB7D9DC-1CD6-4001-8821-E8CBC5A396F2}"/>
    <cellStyle name="40% - Accent2 3 5 2 4" xfId="20630" xr:uid="{DA55981E-2EE3-4878-B12B-120315324673}"/>
    <cellStyle name="40% - Accent2 3 5 3" xfId="5805" xr:uid="{00000000-0005-0000-0000-0000D2040000}"/>
    <cellStyle name="40% - Accent2 3 5 3 2" xfId="14255" xr:uid="{7AE794BE-3078-4E92-A323-0B968B1548AD}"/>
    <cellStyle name="40% - Accent2 3 5 3 3" xfId="22702" xr:uid="{70178327-5C25-466B-9197-A95E2867C8D1}"/>
    <cellStyle name="40% - Accent2 3 5 4" xfId="10037" xr:uid="{4182E461-9BCA-41BC-99E7-6484BB452013}"/>
    <cellStyle name="40% - Accent2 3 5 5" xfId="18485" xr:uid="{7C9C2000-C140-43D2-9CD4-96F4E19F416E}"/>
    <cellStyle name="40% - Accent2 3 6" xfId="1912" xr:uid="{00000000-0005-0000-0000-0000D3040000}"/>
    <cellStyle name="40% - Accent2 3 6 2" xfId="4141" xr:uid="{00000000-0005-0000-0000-0000D4040000}"/>
    <cellStyle name="40% - Accent2 3 6 2 2" xfId="8363" xr:uid="{00000000-0005-0000-0000-0000D5040000}"/>
    <cellStyle name="40% - Accent2 3 6 2 2 2" xfId="16813" xr:uid="{0A740C59-E39F-461F-8D4A-11604AE78345}"/>
    <cellStyle name="40% - Accent2 3 6 2 2 3" xfId="25260" xr:uid="{C3C8962C-76D2-4348-AE69-D658786A8BBA}"/>
    <cellStyle name="40% - Accent2 3 6 2 3" xfId="12595" xr:uid="{FA9E1A57-BA42-4C37-8440-C352E4D68FA4}"/>
    <cellStyle name="40% - Accent2 3 6 2 4" xfId="21043" xr:uid="{9DCA8371-4FC7-463E-B5A6-AE331C14028B}"/>
    <cellStyle name="40% - Accent2 3 6 3" xfId="6218" xr:uid="{00000000-0005-0000-0000-0000D6040000}"/>
    <cellStyle name="40% - Accent2 3 6 3 2" xfId="14668" xr:uid="{78C0E23D-D952-4358-B012-1836AE240A3D}"/>
    <cellStyle name="40% - Accent2 3 6 3 3" xfId="23115" xr:uid="{5D4CB8D3-C4B4-44F1-89EB-5D83D59F7E9B}"/>
    <cellStyle name="40% - Accent2 3 6 4" xfId="10450" xr:uid="{32955DBF-F5B4-4C81-A6D4-EB66C6142D6B}"/>
    <cellStyle name="40% - Accent2 3 6 5" xfId="18898" xr:uid="{D41CA4E7-821A-49DE-9AC6-89F4001747AB}"/>
    <cellStyle name="40% - Accent2 3 7" xfId="2325" xr:uid="{00000000-0005-0000-0000-0000D7040000}"/>
    <cellStyle name="40% - Accent2 3 7 2" xfId="6631" xr:uid="{00000000-0005-0000-0000-0000D8040000}"/>
    <cellStyle name="40% - Accent2 3 7 2 2" xfId="15081" xr:uid="{6D510060-23D5-4D58-9412-567E80C90FF7}"/>
    <cellStyle name="40% - Accent2 3 7 2 3" xfId="23528" xr:uid="{1F6121ED-AE9C-470B-9462-8FECE5860A4C}"/>
    <cellStyle name="40% - Accent2 3 7 3" xfId="10863" xr:uid="{18B576ED-1D90-4491-9FBA-6452DE716774}"/>
    <cellStyle name="40% - Accent2 3 7 4" xfId="19311" xr:uid="{771AE314-6B6A-41C8-9CEE-A14256AB9528}"/>
    <cellStyle name="40% - Accent2 3 8" xfId="4565" xr:uid="{00000000-0005-0000-0000-0000D9040000}"/>
    <cellStyle name="40% - Accent2 3 8 2" xfId="13015" xr:uid="{D581BC31-9819-4424-99F9-9431BA5F3470}"/>
    <cellStyle name="40% - Accent2 3 8 3" xfId="21462" xr:uid="{F15ED14F-140E-443D-8126-D503876D81FD}"/>
    <cellStyle name="40% - Accent2 3 9" xfId="8797" xr:uid="{8B656A54-95A9-4572-88D4-D11A22A884AB}"/>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2 2 2" xfId="15576" xr:uid="{D29E8E9C-77E7-409E-8848-55E838DEDFA6}"/>
    <cellStyle name="40% - Accent2 4 2 2 2 3" xfId="24023" xr:uid="{4C9E15B3-F6C7-42DD-A7C0-9329142A1F3E}"/>
    <cellStyle name="40% - Accent2 4 2 2 3" xfId="11358" xr:uid="{EB46FE66-2C68-4513-B256-20585C93BDA3}"/>
    <cellStyle name="40% - Accent2 4 2 2 4" xfId="19806" xr:uid="{D5AAE1BB-8E08-4C43-B790-2EB74066CD5B}"/>
    <cellStyle name="40% - Accent2 4 2 3" xfId="4981" xr:uid="{00000000-0005-0000-0000-0000DE040000}"/>
    <cellStyle name="40% - Accent2 4 2 3 2" xfId="13431" xr:uid="{AE52DE69-BC65-40AD-AD9A-F700E99C0F21}"/>
    <cellStyle name="40% - Accent2 4 2 3 3" xfId="21878" xr:uid="{B9A1140E-0327-4A66-BEB2-8417878A5ED4}"/>
    <cellStyle name="40% - Accent2 4 2 4" xfId="9213" xr:uid="{82A05701-FD6D-43E8-A672-051CA70789CB}"/>
    <cellStyle name="40% - Accent2 4 2 5" xfId="17661" xr:uid="{263037B0-40ED-400B-AF90-F0328ECEAAB5}"/>
    <cellStyle name="40% - Accent2 4 3" xfId="1086" xr:uid="{00000000-0005-0000-0000-0000DF040000}"/>
    <cellStyle name="40% - Accent2 4 3 2" xfId="3317" xr:uid="{00000000-0005-0000-0000-0000E0040000}"/>
    <cellStyle name="40% - Accent2 4 3 2 2" xfId="7539" xr:uid="{00000000-0005-0000-0000-0000E1040000}"/>
    <cellStyle name="40% - Accent2 4 3 2 2 2" xfId="15989" xr:uid="{B14BA585-8691-4F97-A6E8-78F3D770935A}"/>
    <cellStyle name="40% - Accent2 4 3 2 2 3" xfId="24436" xr:uid="{E3A5F5BB-208B-47E0-9AD9-1FA078E28237}"/>
    <cellStyle name="40% - Accent2 4 3 2 3" xfId="11771" xr:uid="{0171F1C1-D337-4316-AEFC-D611C80CBA94}"/>
    <cellStyle name="40% - Accent2 4 3 2 4" xfId="20219" xr:uid="{E7F137D4-2E95-4194-9032-7E464D18ABE3}"/>
    <cellStyle name="40% - Accent2 4 3 3" xfId="5394" xr:uid="{00000000-0005-0000-0000-0000E2040000}"/>
    <cellStyle name="40% - Accent2 4 3 3 2" xfId="13844" xr:uid="{A7B8C30A-D9E4-49CE-AFC1-8BB6F1A8A3EB}"/>
    <cellStyle name="40% - Accent2 4 3 3 3" xfId="22291" xr:uid="{E92A37B8-EF24-410E-9C79-4B760182686F}"/>
    <cellStyle name="40% - Accent2 4 3 4" xfId="9626" xr:uid="{F7AD3044-76BA-4B30-9538-BA128E9A2B87}"/>
    <cellStyle name="40% - Accent2 4 3 5" xfId="18074" xr:uid="{B46A01BD-3981-48EF-BC57-EEEF80065C22}"/>
    <cellStyle name="40% - Accent2 4 4" xfId="1500" xr:uid="{00000000-0005-0000-0000-0000E3040000}"/>
    <cellStyle name="40% - Accent2 4 4 2" xfId="3730" xr:uid="{00000000-0005-0000-0000-0000E4040000}"/>
    <cellStyle name="40% - Accent2 4 4 2 2" xfId="7952" xr:uid="{00000000-0005-0000-0000-0000E5040000}"/>
    <cellStyle name="40% - Accent2 4 4 2 2 2" xfId="16402" xr:uid="{A7A5F4B1-F733-469D-8D05-9477929A39FD}"/>
    <cellStyle name="40% - Accent2 4 4 2 2 3" xfId="24849" xr:uid="{55C0DEB7-F068-4DF7-9C48-62600023E93E}"/>
    <cellStyle name="40% - Accent2 4 4 2 3" xfId="12184" xr:uid="{A0FB6162-E5DB-4F3A-9FE4-DA3BB445F309}"/>
    <cellStyle name="40% - Accent2 4 4 2 4" xfId="20632" xr:uid="{6E21C7E5-A091-4344-90D4-4408D9E3AC61}"/>
    <cellStyle name="40% - Accent2 4 4 3" xfId="5807" xr:uid="{00000000-0005-0000-0000-0000E6040000}"/>
    <cellStyle name="40% - Accent2 4 4 3 2" xfId="14257" xr:uid="{15A45217-6731-4B33-BC29-E32CA9AC5458}"/>
    <cellStyle name="40% - Accent2 4 4 3 3" xfId="22704" xr:uid="{38DE16F5-D372-45F7-B35B-782404A3B925}"/>
    <cellStyle name="40% - Accent2 4 4 4" xfId="10039" xr:uid="{1A0071B9-60B8-42D7-91D1-3112DB7AFC4E}"/>
    <cellStyle name="40% - Accent2 4 4 5" xfId="18487" xr:uid="{8345EAA1-BEE2-4C04-9229-E6B7EF34A308}"/>
    <cellStyle name="40% - Accent2 4 5" xfId="1914" xr:uid="{00000000-0005-0000-0000-0000E7040000}"/>
    <cellStyle name="40% - Accent2 4 5 2" xfId="4143" xr:uid="{00000000-0005-0000-0000-0000E8040000}"/>
    <cellStyle name="40% - Accent2 4 5 2 2" xfId="8365" xr:uid="{00000000-0005-0000-0000-0000E9040000}"/>
    <cellStyle name="40% - Accent2 4 5 2 2 2" xfId="16815" xr:uid="{BF4F3798-9F37-4FA1-9658-18BACCB8638C}"/>
    <cellStyle name="40% - Accent2 4 5 2 2 3" xfId="25262" xr:uid="{7D745F26-A601-480F-95B2-30C895EF9615}"/>
    <cellStyle name="40% - Accent2 4 5 2 3" xfId="12597" xr:uid="{4CDF89A6-6926-42BA-8702-D71674626F95}"/>
    <cellStyle name="40% - Accent2 4 5 2 4" xfId="21045" xr:uid="{59FB798B-2FEC-48F7-9C79-EB00050DB7E0}"/>
    <cellStyle name="40% - Accent2 4 5 3" xfId="6220" xr:uid="{00000000-0005-0000-0000-0000EA040000}"/>
    <cellStyle name="40% - Accent2 4 5 3 2" xfId="14670" xr:uid="{8997F445-D7F9-4466-9877-ED982739A95F}"/>
    <cellStyle name="40% - Accent2 4 5 3 3" xfId="23117" xr:uid="{7A10E5B6-4E31-4E2E-A130-3A6BE04C2369}"/>
    <cellStyle name="40% - Accent2 4 5 4" xfId="10452" xr:uid="{C6529B01-617F-4887-8358-5D82A9E46678}"/>
    <cellStyle name="40% - Accent2 4 5 5" xfId="18900" xr:uid="{31EA3611-4B1C-4994-8308-CAAEE49487F6}"/>
    <cellStyle name="40% - Accent2 4 6" xfId="2327" xr:uid="{00000000-0005-0000-0000-0000EB040000}"/>
    <cellStyle name="40% - Accent2 4 6 2" xfId="6633" xr:uid="{00000000-0005-0000-0000-0000EC040000}"/>
    <cellStyle name="40% - Accent2 4 6 2 2" xfId="15083" xr:uid="{8FC988CD-B438-434D-8C5C-EEA8D6068D80}"/>
    <cellStyle name="40% - Accent2 4 6 2 3" xfId="23530" xr:uid="{D68E36CB-7E6A-42F6-8B7E-4F47DBC88D25}"/>
    <cellStyle name="40% - Accent2 4 6 3" xfId="10865" xr:uid="{A78C5DA0-1CE2-47F2-9984-9B7CC5B1F3CA}"/>
    <cellStyle name="40% - Accent2 4 6 4" xfId="19313" xr:uid="{0B42B55E-9C17-4B6F-A73E-9C27F8CB7BD5}"/>
    <cellStyle name="40% - Accent2 4 7" xfId="4567" xr:uid="{00000000-0005-0000-0000-0000ED040000}"/>
    <cellStyle name="40% - Accent2 4 7 2" xfId="13017" xr:uid="{F05C4309-F568-4468-B78B-ACB30B7256C5}"/>
    <cellStyle name="40% - Accent2 4 7 3" xfId="21464" xr:uid="{CC5369F4-E9BF-4763-9749-749D40B9445B}"/>
    <cellStyle name="40% - Accent2 4 8" xfId="8799" xr:uid="{CB05540C-1F49-4CD4-B78A-B922030CB2BF}"/>
    <cellStyle name="40% - Accent2 4 9" xfId="17247" xr:uid="{54E7C29D-B6F0-4D81-A54C-FCAD7408F541}"/>
    <cellStyle name="40% - Accent2 5" xfId="626" xr:uid="{00000000-0005-0000-0000-0000EE040000}"/>
    <cellStyle name="40% - Accent2 5 2" xfId="2897" xr:uid="{00000000-0005-0000-0000-0000EF040000}"/>
    <cellStyle name="40% - Accent2 5 2 2" xfId="7119" xr:uid="{00000000-0005-0000-0000-0000F0040000}"/>
    <cellStyle name="40% - Accent2 5 2 2 2" xfId="15569" xr:uid="{513819C7-55E6-4FD1-B693-3DBCA87C1F65}"/>
    <cellStyle name="40% - Accent2 5 2 2 3" xfId="24016" xr:uid="{7AED746E-C67D-479C-9485-CE9FAABF138A}"/>
    <cellStyle name="40% - Accent2 5 2 3" xfId="11351" xr:uid="{B1A9302D-839D-4B3F-A167-94F14C5A0514}"/>
    <cellStyle name="40% - Accent2 5 2 4" xfId="19799" xr:uid="{209A3C22-890C-4C92-951C-5DBBC8FCED83}"/>
    <cellStyle name="40% - Accent2 5 3" xfId="4974" xr:uid="{00000000-0005-0000-0000-0000F1040000}"/>
    <cellStyle name="40% - Accent2 5 3 2" xfId="13424" xr:uid="{92B9A21B-66F0-44F5-92A4-EE981ED73D1D}"/>
    <cellStyle name="40% - Accent2 5 3 3" xfId="21871" xr:uid="{03ECE5BD-F5F6-49B4-861A-0B334E462AE9}"/>
    <cellStyle name="40% - Accent2 5 4" xfId="9206" xr:uid="{5E68C682-429A-4BF7-A811-23B7D90B2ED7}"/>
    <cellStyle name="40% - Accent2 5 5" xfId="17654" xr:uid="{0E0C3022-3924-43FA-AC75-C78A336D1D41}"/>
    <cellStyle name="40% - Accent2 6" xfId="1079" xr:uid="{00000000-0005-0000-0000-0000F2040000}"/>
    <cellStyle name="40% - Accent2 6 2" xfId="3310" xr:uid="{00000000-0005-0000-0000-0000F3040000}"/>
    <cellStyle name="40% - Accent2 6 2 2" xfId="7532" xr:uid="{00000000-0005-0000-0000-0000F4040000}"/>
    <cellStyle name="40% - Accent2 6 2 2 2" xfId="15982" xr:uid="{AD3AF829-2E59-4E05-A32F-948CDEA11438}"/>
    <cellStyle name="40% - Accent2 6 2 2 3" xfId="24429" xr:uid="{84F388D9-A751-4B75-B8F1-E049DA81DCD9}"/>
    <cellStyle name="40% - Accent2 6 2 3" xfId="11764" xr:uid="{F737ED1E-CBB4-457F-93B3-513C20854F34}"/>
    <cellStyle name="40% - Accent2 6 2 4" xfId="20212" xr:uid="{D4E33289-B70C-45A9-82BD-8AB999374C23}"/>
    <cellStyle name="40% - Accent2 6 3" xfId="5387" xr:uid="{00000000-0005-0000-0000-0000F5040000}"/>
    <cellStyle name="40% - Accent2 6 3 2" xfId="13837" xr:uid="{47256D30-3785-4F64-B31B-0B76054FA0B3}"/>
    <cellStyle name="40% - Accent2 6 3 3" xfId="22284" xr:uid="{4EB78DEC-C5CB-482E-98C0-FD23B66F07AE}"/>
    <cellStyle name="40% - Accent2 6 4" xfId="9619" xr:uid="{E5718847-107F-466E-AEFD-E1B1BBB70187}"/>
    <cellStyle name="40% - Accent2 6 5" xfId="18067" xr:uid="{CFA5B14D-0375-4112-880C-22B4FDE5CCF4}"/>
    <cellStyle name="40% - Accent2 7" xfId="1493" xr:uid="{00000000-0005-0000-0000-0000F6040000}"/>
    <cellStyle name="40% - Accent2 7 2" xfId="3723" xr:uid="{00000000-0005-0000-0000-0000F7040000}"/>
    <cellStyle name="40% - Accent2 7 2 2" xfId="7945" xr:uid="{00000000-0005-0000-0000-0000F8040000}"/>
    <cellStyle name="40% - Accent2 7 2 2 2" xfId="16395" xr:uid="{8707E30A-69D6-401C-AFC1-478A1E37F317}"/>
    <cellStyle name="40% - Accent2 7 2 2 3" xfId="24842" xr:uid="{7B7B34F9-DF2C-45A8-B8D1-BE791B731466}"/>
    <cellStyle name="40% - Accent2 7 2 3" xfId="12177" xr:uid="{1159E6AB-5CDC-4954-922B-792D9866AD3D}"/>
    <cellStyle name="40% - Accent2 7 2 4" xfId="20625" xr:uid="{6E0D3609-F576-424E-BCEE-9731C008384A}"/>
    <cellStyle name="40% - Accent2 7 3" xfId="5800" xr:uid="{00000000-0005-0000-0000-0000F9040000}"/>
    <cellStyle name="40% - Accent2 7 3 2" xfId="14250" xr:uid="{5B36E947-075D-4623-9980-4DFB195CC930}"/>
    <cellStyle name="40% - Accent2 7 3 3" xfId="22697" xr:uid="{02A9BEB1-3446-47D9-953A-72007D8DC9A0}"/>
    <cellStyle name="40% - Accent2 7 4" xfId="10032" xr:uid="{5189F1BF-B9EA-473E-9EA7-B617FF606ADA}"/>
    <cellStyle name="40% - Accent2 7 5" xfId="18480" xr:uid="{D770C241-498B-44AB-8923-FC0FF9D1F75D}"/>
    <cellStyle name="40% - Accent2 8" xfId="1907" xr:uid="{00000000-0005-0000-0000-0000FA040000}"/>
    <cellStyle name="40% - Accent2 8 2" xfId="4136" xr:uid="{00000000-0005-0000-0000-0000FB040000}"/>
    <cellStyle name="40% - Accent2 8 2 2" xfId="8358" xr:uid="{00000000-0005-0000-0000-0000FC040000}"/>
    <cellStyle name="40% - Accent2 8 2 2 2" xfId="16808" xr:uid="{D0BE9EC9-8236-4A4F-BF99-12DBBAA20E13}"/>
    <cellStyle name="40% - Accent2 8 2 2 3" xfId="25255" xr:uid="{2218985C-14C5-4DAC-AA55-220E4ACAB392}"/>
    <cellStyle name="40% - Accent2 8 2 3" xfId="12590" xr:uid="{8980966D-A88F-4A9D-9EE7-E54C4366F85C}"/>
    <cellStyle name="40% - Accent2 8 2 4" xfId="21038" xr:uid="{FDFC4FF0-D478-4206-B71A-77E91AF831E9}"/>
    <cellStyle name="40% - Accent2 8 3" xfId="6213" xr:uid="{00000000-0005-0000-0000-0000FD040000}"/>
    <cellStyle name="40% - Accent2 8 3 2" xfId="14663" xr:uid="{8812D172-AB0A-45E6-8FE1-AA653ED3EE47}"/>
    <cellStyle name="40% - Accent2 8 3 3" xfId="23110" xr:uid="{417B0DCF-E149-4B9D-BB5C-7902E5635948}"/>
    <cellStyle name="40% - Accent2 8 4" xfId="10445" xr:uid="{AC0EB638-C363-4844-BAE3-01E02388DF33}"/>
    <cellStyle name="40% - Accent2 8 5" xfId="18893" xr:uid="{29CB5C09-05D2-4623-9714-8F3B1548FDAC}"/>
    <cellStyle name="40% - Accent2 9" xfId="2320" xr:uid="{00000000-0005-0000-0000-0000FE040000}"/>
    <cellStyle name="40% - Accent2 9 2" xfId="6626" xr:uid="{00000000-0005-0000-0000-0000FF040000}"/>
    <cellStyle name="40% - Accent2 9 2 2" xfId="15076" xr:uid="{889295E2-9B09-4E7D-A86C-0F602CE1A9B6}"/>
    <cellStyle name="40% - Accent2 9 2 3" xfId="23523" xr:uid="{946CEFD7-57B2-48C7-B0A6-0C674DEC83A1}"/>
    <cellStyle name="40% - Accent2 9 3" xfId="10858" xr:uid="{A2D0F227-7C4C-42E7-8458-19440C419726}"/>
    <cellStyle name="40% - Accent2 9 4" xfId="19306" xr:uid="{68F1F40A-28AE-4599-B2B4-3BAD32DB6E6F}"/>
    <cellStyle name="40% - Accent3" xfId="65" builtinId="39" customBuiltin="1"/>
    <cellStyle name="40% - Accent3 10" xfId="4568" xr:uid="{00000000-0005-0000-0000-000001050000}"/>
    <cellStyle name="40% - Accent3 10 2" xfId="13018" xr:uid="{146C2FEA-430B-4497-AD57-CD249B5CFD6A}"/>
    <cellStyle name="40% - Accent3 10 3" xfId="21465" xr:uid="{BD591D71-CA32-4D21-8C6F-EE43E2807581}"/>
    <cellStyle name="40% - Accent3 11" xfId="8800" xr:uid="{5EE921DA-8696-4CBB-9A0B-66F44A0CEF79}"/>
    <cellStyle name="40% - Accent3 12" xfId="17248" xr:uid="{20CA3173-E969-4AE9-9FB2-B79F84DC1345}"/>
    <cellStyle name="40% - Accent3 2" xfId="66" xr:uid="{00000000-0005-0000-0000-000002050000}"/>
    <cellStyle name="40% - Accent3 2 10" xfId="8801" xr:uid="{58277678-1BA0-479E-9D87-28343B113DBA}"/>
    <cellStyle name="40% - Accent3 2 11" xfId="17249" xr:uid="{A1CF86B6-F2AB-4D53-90D0-F40F49A50BB7}"/>
    <cellStyle name="40% - Accent3 2 2" xfId="67" xr:uid="{00000000-0005-0000-0000-000003050000}"/>
    <cellStyle name="40% - Accent3 2 2 10" xfId="17250" xr:uid="{82CB424E-C61D-41E9-92A5-0B5E7120B901}"/>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2 2 2" xfId="15580" xr:uid="{8B2F3BC5-5751-472E-A6E1-8BAF16D206F4}"/>
    <cellStyle name="40% - Accent3 2 2 2 2 2 2 3" xfId="24027" xr:uid="{3F311A44-4AB9-4F4F-B918-12E1E8535216}"/>
    <cellStyle name="40% - Accent3 2 2 2 2 2 3" xfId="11362" xr:uid="{6FF8DBD0-B1D9-454F-A564-1218685BB005}"/>
    <cellStyle name="40% - Accent3 2 2 2 2 2 4" xfId="19810" xr:uid="{C20E0F40-FEEC-4F8B-BA98-6B067A60B7AC}"/>
    <cellStyle name="40% - Accent3 2 2 2 2 3" xfId="4985" xr:uid="{00000000-0005-0000-0000-000008050000}"/>
    <cellStyle name="40% - Accent3 2 2 2 2 3 2" xfId="13435" xr:uid="{3D765748-7B71-4A4D-BE36-624F0945CFA4}"/>
    <cellStyle name="40% - Accent3 2 2 2 2 3 3" xfId="21882" xr:uid="{78B8F198-8A8B-48E7-B501-ECF4F699072F}"/>
    <cellStyle name="40% - Accent3 2 2 2 2 4" xfId="9217" xr:uid="{34F53149-07FC-4374-860D-A04C7F6A2DAC}"/>
    <cellStyle name="40% - Accent3 2 2 2 2 5" xfId="17665" xr:uid="{5C184E41-43F8-4857-AB8F-7278C428CDCC}"/>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2 2 2" xfId="15993" xr:uid="{6014575F-3BFF-4E0C-86D8-12D2AF2EA367}"/>
    <cellStyle name="40% - Accent3 2 2 2 3 2 2 3" xfId="24440" xr:uid="{B2D7CDE2-CA5D-4FF8-A550-ECFADB57183C}"/>
    <cellStyle name="40% - Accent3 2 2 2 3 2 3" xfId="11775" xr:uid="{9BA56098-C3D4-4841-8FA8-DC8EBD99A03D}"/>
    <cellStyle name="40% - Accent3 2 2 2 3 2 4" xfId="20223" xr:uid="{F2E9D490-9B74-49ED-B4E2-109240242F9F}"/>
    <cellStyle name="40% - Accent3 2 2 2 3 3" xfId="5398" xr:uid="{00000000-0005-0000-0000-00000C050000}"/>
    <cellStyle name="40% - Accent3 2 2 2 3 3 2" xfId="13848" xr:uid="{923FDF83-EB22-417D-9BB3-9462DB051AEF}"/>
    <cellStyle name="40% - Accent3 2 2 2 3 3 3" xfId="22295" xr:uid="{86F0DCC0-6061-4687-A22F-341FE9D96902}"/>
    <cellStyle name="40% - Accent3 2 2 2 3 4" xfId="9630" xr:uid="{65674D5A-CE4C-40AF-9DCB-4245D544EF92}"/>
    <cellStyle name="40% - Accent3 2 2 2 3 5" xfId="18078" xr:uid="{344212EB-24CB-4716-B6FA-C348ECF81A13}"/>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2 2 2" xfId="16406" xr:uid="{7E90C492-8C59-4AEC-B29D-508234204EB7}"/>
    <cellStyle name="40% - Accent3 2 2 2 4 2 2 3" xfId="24853" xr:uid="{5582C4A8-7D9A-4CC0-A4AE-6814F22B73FA}"/>
    <cellStyle name="40% - Accent3 2 2 2 4 2 3" xfId="12188" xr:uid="{C1BB9D31-9809-4B0D-8497-779C01B94946}"/>
    <cellStyle name="40% - Accent3 2 2 2 4 2 4" xfId="20636" xr:uid="{5113636D-D591-4462-AEA8-60E12F07C5C1}"/>
    <cellStyle name="40% - Accent3 2 2 2 4 3" xfId="5811" xr:uid="{00000000-0005-0000-0000-000010050000}"/>
    <cellStyle name="40% - Accent3 2 2 2 4 3 2" xfId="14261" xr:uid="{D4BD88EC-5225-4745-9801-AEE1CC9521EE}"/>
    <cellStyle name="40% - Accent3 2 2 2 4 3 3" xfId="22708" xr:uid="{ACF10860-1EE8-470E-A815-16AE862E42E5}"/>
    <cellStyle name="40% - Accent3 2 2 2 4 4" xfId="10043" xr:uid="{C82B4F01-BFDA-404D-82A8-1173FC9D2D4B}"/>
    <cellStyle name="40% - Accent3 2 2 2 4 5" xfId="18491" xr:uid="{A5FE3B0F-6ABB-415A-836F-8F6C2F80BB39}"/>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2 2 2" xfId="16819" xr:uid="{CDAF76EC-D95F-4AFE-AEDB-6431E64E9C7A}"/>
    <cellStyle name="40% - Accent3 2 2 2 5 2 2 3" xfId="25266" xr:uid="{B4C0B685-97E9-4A04-B6E7-93EF06343729}"/>
    <cellStyle name="40% - Accent3 2 2 2 5 2 3" xfId="12601" xr:uid="{EBE67FBE-7743-4A5F-97A7-6ED1F1FB8BB9}"/>
    <cellStyle name="40% - Accent3 2 2 2 5 2 4" xfId="21049" xr:uid="{4464ABD6-60A9-47E8-8A8F-199EAF7A5BD0}"/>
    <cellStyle name="40% - Accent3 2 2 2 5 3" xfId="6224" xr:uid="{00000000-0005-0000-0000-000014050000}"/>
    <cellStyle name="40% - Accent3 2 2 2 5 3 2" xfId="14674" xr:uid="{AD763713-BDF4-47AC-9F58-C18B3D7DA4E7}"/>
    <cellStyle name="40% - Accent3 2 2 2 5 3 3" xfId="23121" xr:uid="{F576C335-C18F-4BCB-92ED-0DAEC01EAA2B}"/>
    <cellStyle name="40% - Accent3 2 2 2 5 4" xfId="10456" xr:uid="{CDA085A2-EE96-4387-81E7-95C548A1EAB9}"/>
    <cellStyle name="40% - Accent3 2 2 2 5 5" xfId="18904" xr:uid="{524A158B-81E2-49BC-AA5C-BF23151563EA}"/>
    <cellStyle name="40% - Accent3 2 2 2 6" xfId="2331" xr:uid="{00000000-0005-0000-0000-000015050000}"/>
    <cellStyle name="40% - Accent3 2 2 2 6 2" xfId="6637" xr:uid="{00000000-0005-0000-0000-000016050000}"/>
    <cellStyle name="40% - Accent3 2 2 2 6 2 2" xfId="15087" xr:uid="{78C9EF40-F5BF-43DA-B693-A090BDF03FD2}"/>
    <cellStyle name="40% - Accent3 2 2 2 6 2 3" xfId="23534" xr:uid="{C32539DA-113C-4CE7-8882-D5E5357E4809}"/>
    <cellStyle name="40% - Accent3 2 2 2 6 3" xfId="10869" xr:uid="{E59F7D4B-C2E4-4FA8-AC8E-3B4785559326}"/>
    <cellStyle name="40% - Accent3 2 2 2 6 4" xfId="19317" xr:uid="{88571F03-AB8E-4CA1-A59C-C9E8CA7B785B}"/>
    <cellStyle name="40% - Accent3 2 2 2 7" xfId="4571" xr:uid="{00000000-0005-0000-0000-000017050000}"/>
    <cellStyle name="40% - Accent3 2 2 2 7 2" xfId="13021" xr:uid="{D8BC58BA-80BD-4D1F-AE40-04DDEE29053F}"/>
    <cellStyle name="40% - Accent3 2 2 2 7 3" xfId="21468" xr:uid="{58D1CB7F-4068-478F-87BD-7B957037B50C}"/>
    <cellStyle name="40% - Accent3 2 2 2 8" xfId="8803" xr:uid="{EEC5DF3A-8572-4F3C-A5DC-34B4B6F894F6}"/>
    <cellStyle name="40% - Accent3 2 2 2 9" xfId="17251" xr:uid="{554CD20C-ABBA-4648-8E29-17E7F9334A5E}"/>
    <cellStyle name="40% - Accent3 2 2 3" xfId="636" xr:uid="{00000000-0005-0000-0000-000018050000}"/>
    <cellStyle name="40% - Accent3 2 2 3 2" xfId="2907" xr:uid="{00000000-0005-0000-0000-000019050000}"/>
    <cellStyle name="40% - Accent3 2 2 3 2 2" xfId="7129" xr:uid="{00000000-0005-0000-0000-00001A050000}"/>
    <cellStyle name="40% - Accent3 2 2 3 2 2 2" xfId="15579" xr:uid="{B948763A-5FEB-42B4-94AC-CF1294EA31E9}"/>
    <cellStyle name="40% - Accent3 2 2 3 2 2 3" xfId="24026" xr:uid="{2462F5E2-D65F-49B6-87D7-B478EF1D3349}"/>
    <cellStyle name="40% - Accent3 2 2 3 2 3" xfId="11361" xr:uid="{32EEF067-2AD1-43AD-B421-16B1D0E13BAE}"/>
    <cellStyle name="40% - Accent3 2 2 3 2 4" xfId="19809" xr:uid="{B7D569D5-A2CD-49F7-AEF1-A264A9EF7FE4}"/>
    <cellStyle name="40% - Accent3 2 2 3 3" xfId="4984" xr:uid="{00000000-0005-0000-0000-00001B050000}"/>
    <cellStyle name="40% - Accent3 2 2 3 3 2" xfId="13434" xr:uid="{EE2B4655-1FE9-4C46-8FDE-44986375DD39}"/>
    <cellStyle name="40% - Accent3 2 2 3 3 3" xfId="21881" xr:uid="{DDBE7A32-5FCC-4391-8288-719A4AEBEC89}"/>
    <cellStyle name="40% - Accent3 2 2 3 4" xfId="9216" xr:uid="{6F1F1B13-47BA-44D1-9397-CD685016C0D9}"/>
    <cellStyle name="40% - Accent3 2 2 3 5" xfId="17664" xr:uid="{FD178948-6C47-4C25-9295-ED58EB0BCF40}"/>
    <cellStyle name="40% - Accent3 2 2 4" xfId="1089" xr:uid="{00000000-0005-0000-0000-00001C050000}"/>
    <cellStyle name="40% - Accent3 2 2 4 2" xfId="3320" xr:uid="{00000000-0005-0000-0000-00001D050000}"/>
    <cellStyle name="40% - Accent3 2 2 4 2 2" xfId="7542" xr:uid="{00000000-0005-0000-0000-00001E050000}"/>
    <cellStyle name="40% - Accent3 2 2 4 2 2 2" xfId="15992" xr:uid="{8BFCD871-C385-43D2-8A4D-EE059AA415EA}"/>
    <cellStyle name="40% - Accent3 2 2 4 2 2 3" xfId="24439" xr:uid="{164138B0-544B-40ED-95C7-75D95DCBB55D}"/>
    <cellStyle name="40% - Accent3 2 2 4 2 3" xfId="11774" xr:uid="{9FAB9CD0-2155-4099-8590-FF8909B9ED63}"/>
    <cellStyle name="40% - Accent3 2 2 4 2 4" xfId="20222" xr:uid="{7C778C5D-C31A-4160-9416-0919A3B01F80}"/>
    <cellStyle name="40% - Accent3 2 2 4 3" xfId="5397" xr:uid="{00000000-0005-0000-0000-00001F050000}"/>
    <cellStyle name="40% - Accent3 2 2 4 3 2" xfId="13847" xr:uid="{9F37697A-B681-4E6D-B385-97325A54978B}"/>
    <cellStyle name="40% - Accent3 2 2 4 3 3" xfId="22294" xr:uid="{70DBCE6E-B235-42D8-8B87-137DCD8DDF46}"/>
    <cellStyle name="40% - Accent3 2 2 4 4" xfId="9629" xr:uid="{EFC2E7F8-D554-4BCA-82E0-4C02667CFF97}"/>
    <cellStyle name="40% - Accent3 2 2 4 5" xfId="18077" xr:uid="{E0CD09B1-4524-4344-BC00-966459D072B5}"/>
    <cellStyle name="40% - Accent3 2 2 5" xfId="1503" xr:uid="{00000000-0005-0000-0000-000020050000}"/>
    <cellStyle name="40% - Accent3 2 2 5 2" xfId="3733" xr:uid="{00000000-0005-0000-0000-000021050000}"/>
    <cellStyle name="40% - Accent3 2 2 5 2 2" xfId="7955" xr:uid="{00000000-0005-0000-0000-000022050000}"/>
    <cellStyle name="40% - Accent3 2 2 5 2 2 2" xfId="16405" xr:uid="{D3A1F664-6FD6-4AFE-A091-67F9BCCF1F29}"/>
    <cellStyle name="40% - Accent3 2 2 5 2 2 3" xfId="24852" xr:uid="{EBD53524-40FB-49D5-A279-C691F99D6282}"/>
    <cellStyle name="40% - Accent3 2 2 5 2 3" xfId="12187" xr:uid="{007F81E2-CD7C-4334-AB17-5105E4204489}"/>
    <cellStyle name="40% - Accent3 2 2 5 2 4" xfId="20635" xr:uid="{A46E91CE-C8C5-4904-8532-DBA112BD4368}"/>
    <cellStyle name="40% - Accent3 2 2 5 3" xfId="5810" xr:uid="{00000000-0005-0000-0000-000023050000}"/>
    <cellStyle name="40% - Accent3 2 2 5 3 2" xfId="14260" xr:uid="{BA31A74C-140A-4BA8-B052-53BA53A2086A}"/>
    <cellStyle name="40% - Accent3 2 2 5 3 3" xfId="22707" xr:uid="{EE13B0A7-8786-4867-A1A4-C670AF9D299D}"/>
    <cellStyle name="40% - Accent3 2 2 5 4" xfId="10042" xr:uid="{AFDFC73F-4B50-4004-B586-D2A6CFD22D28}"/>
    <cellStyle name="40% - Accent3 2 2 5 5" xfId="18490" xr:uid="{140A0B8B-8267-4090-A592-E5A05D3FB446}"/>
    <cellStyle name="40% - Accent3 2 2 6" xfId="1917" xr:uid="{00000000-0005-0000-0000-000024050000}"/>
    <cellStyle name="40% - Accent3 2 2 6 2" xfId="4146" xr:uid="{00000000-0005-0000-0000-000025050000}"/>
    <cellStyle name="40% - Accent3 2 2 6 2 2" xfId="8368" xr:uid="{00000000-0005-0000-0000-000026050000}"/>
    <cellStyle name="40% - Accent3 2 2 6 2 2 2" xfId="16818" xr:uid="{B42B6534-2B20-406E-B970-4ECB188ADAA3}"/>
    <cellStyle name="40% - Accent3 2 2 6 2 2 3" xfId="25265" xr:uid="{3471C417-D972-4F71-B547-82BB903B1254}"/>
    <cellStyle name="40% - Accent3 2 2 6 2 3" xfId="12600" xr:uid="{EE353B7B-C126-46B6-874E-6A067CC4E722}"/>
    <cellStyle name="40% - Accent3 2 2 6 2 4" xfId="21048" xr:uid="{71DDFA86-C0FB-437D-8B62-85D1DF227AEC}"/>
    <cellStyle name="40% - Accent3 2 2 6 3" xfId="6223" xr:uid="{00000000-0005-0000-0000-000027050000}"/>
    <cellStyle name="40% - Accent3 2 2 6 3 2" xfId="14673" xr:uid="{F9BAFB9D-FD93-4532-BAF4-1E683C593F16}"/>
    <cellStyle name="40% - Accent3 2 2 6 3 3" xfId="23120" xr:uid="{A7753678-3DDF-4CFF-86A5-BF3D5EB31D54}"/>
    <cellStyle name="40% - Accent3 2 2 6 4" xfId="10455" xr:uid="{6FB2F529-0A88-4809-9FF8-5E7A258AD665}"/>
    <cellStyle name="40% - Accent3 2 2 6 5" xfId="18903" xr:uid="{E43454EE-7CDE-43EA-B7D3-CA3A5AD8C4ED}"/>
    <cellStyle name="40% - Accent3 2 2 7" xfId="2330" xr:uid="{00000000-0005-0000-0000-000028050000}"/>
    <cellStyle name="40% - Accent3 2 2 7 2" xfId="6636" xr:uid="{00000000-0005-0000-0000-000029050000}"/>
    <cellStyle name="40% - Accent3 2 2 7 2 2" xfId="15086" xr:uid="{C0A0C6F7-0626-4D83-B1DA-C805C5A03CFE}"/>
    <cellStyle name="40% - Accent3 2 2 7 2 3" xfId="23533" xr:uid="{42FD752C-9A4B-48FD-A1C6-9179D561630C}"/>
    <cellStyle name="40% - Accent3 2 2 7 3" xfId="10868" xr:uid="{4DE95E37-C819-47BE-866E-E60AA99D1B04}"/>
    <cellStyle name="40% - Accent3 2 2 7 4" xfId="19316" xr:uid="{D9E5B145-E9A8-486E-A883-F2E9A7C1327D}"/>
    <cellStyle name="40% - Accent3 2 2 8" xfId="4570" xr:uid="{00000000-0005-0000-0000-00002A050000}"/>
    <cellStyle name="40% - Accent3 2 2 8 2" xfId="13020" xr:uid="{1A7FE434-1A1E-4DA3-9C73-267A75D5DA96}"/>
    <cellStyle name="40% - Accent3 2 2 8 3" xfId="21467" xr:uid="{C2A33B74-2721-46D3-BA4D-D9FD7404F221}"/>
    <cellStyle name="40% - Accent3 2 2 9" xfId="8802" xr:uid="{2CA43339-8997-4F3D-B73D-87C864AC5876}"/>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2 2 2" xfId="15581" xr:uid="{D235F6B0-6A6C-4E7D-A0EE-CD2D00C527F1}"/>
    <cellStyle name="40% - Accent3 2 3 2 2 2 3" xfId="24028" xr:uid="{02AE9F31-C553-4BDB-A4F8-B6EAEC6A8C5E}"/>
    <cellStyle name="40% - Accent3 2 3 2 2 3" xfId="11363" xr:uid="{55269323-B6AE-42EE-9458-BF3BFCB1C64C}"/>
    <cellStyle name="40% - Accent3 2 3 2 2 4" xfId="19811" xr:uid="{A2AB3F6E-7D7B-4D87-9936-D534037579E6}"/>
    <cellStyle name="40% - Accent3 2 3 2 3" xfId="4986" xr:uid="{00000000-0005-0000-0000-00002F050000}"/>
    <cellStyle name="40% - Accent3 2 3 2 3 2" xfId="13436" xr:uid="{32117BB4-17E4-49CE-B4D5-8582DC76206D}"/>
    <cellStyle name="40% - Accent3 2 3 2 3 3" xfId="21883" xr:uid="{DD75A7DD-A7A2-4A01-B55F-85A237A83B74}"/>
    <cellStyle name="40% - Accent3 2 3 2 4" xfId="9218" xr:uid="{89897BA7-C996-4B92-BCDF-B50B3CD45D92}"/>
    <cellStyle name="40% - Accent3 2 3 2 5" xfId="17666" xr:uid="{6BABF146-87EF-4A7C-995E-B2DA95888155}"/>
    <cellStyle name="40% - Accent3 2 3 3" xfId="1091" xr:uid="{00000000-0005-0000-0000-000030050000}"/>
    <cellStyle name="40% - Accent3 2 3 3 2" xfId="3322" xr:uid="{00000000-0005-0000-0000-000031050000}"/>
    <cellStyle name="40% - Accent3 2 3 3 2 2" xfId="7544" xr:uid="{00000000-0005-0000-0000-000032050000}"/>
    <cellStyle name="40% - Accent3 2 3 3 2 2 2" xfId="15994" xr:uid="{A89B2FAB-2687-4E2E-A3C7-C59D7FFE4886}"/>
    <cellStyle name="40% - Accent3 2 3 3 2 2 3" xfId="24441" xr:uid="{B50E996B-8B1B-41D2-9516-98EB6D96747D}"/>
    <cellStyle name="40% - Accent3 2 3 3 2 3" xfId="11776" xr:uid="{BF2CDC49-487D-4168-85A1-D49EFA606217}"/>
    <cellStyle name="40% - Accent3 2 3 3 2 4" xfId="20224" xr:uid="{8F39374F-1CAA-450C-906E-2AB6B4EBD7F6}"/>
    <cellStyle name="40% - Accent3 2 3 3 3" xfId="5399" xr:uid="{00000000-0005-0000-0000-000033050000}"/>
    <cellStyle name="40% - Accent3 2 3 3 3 2" xfId="13849" xr:uid="{9C15EE12-9D31-43AA-A70C-00EB2DE71E4C}"/>
    <cellStyle name="40% - Accent3 2 3 3 3 3" xfId="22296" xr:uid="{CA7946ED-4BF9-4A4A-B400-F5700492FFB0}"/>
    <cellStyle name="40% - Accent3 2 3 3 4" xfId="9631" xr:uid="{0F8851BD-A6B4-42B7-B171-107F834515F7}"/>
    <cellStyle name="40% - Accent3 2 3 3 5" xfId="18079" xr:uid="{617395EB-1D93-4164-9EEF-D9A2E456132E}"/>
    <cellStyle name="40% - Accent3 2 3 4" xfId="1505" xr:uid="{00000000-0005-0000-0000-000034050000}"/>
    <cellStyle name="40% - Accent3 2 3 4 2" xfId="3735" xr:uid="{00000000-0005-0000-0000-000035050000}"/>
    <cellStyle name="40% - Accent3 2 3 4 2 2" xfId="7957" xr:uid="{00000000-0005-0000-0000-000036050000}"/>
    <cellStyle name="40% - Accent3 2 3 4 2 2 2" xfId="16407" xr:uid="{5BA3F8FC-B5B4-4AC0-9FC5-2C8749248EAF}"/>
    <cellStyle name="40% - Accent3 2 3 4 2 2 3" xfId="24854" xr:uid="{C2FC49A0-5ED1-4E0D-9D45-D50141CECEF4}"/>
    <cellStyle name="40% - Accent3 2 3 4 2 3" xfId="12189" xr:uid="{1ACAE1E1-0508-4308-B5D8-D79951AF027C}"/>
    <cellStyle name="40% - Accent3 2 3 4 2 4" xfId="20637" xr:uid="{0CB2A4F4-045F-473C-A867-6E4EC83A0C48}"/>
    <cellStyle name="40% - Accent3 2 3 4 3" xfId="5812" xr:uid="{00000000-0005-0000-0000-000037050000}"/>
    <cellStyle name="40% - Accent3 2 3 4 3 2" xfId="14262" xr:uid="{00F684CB-297F-4AFB-9DC7-A4C73D9A6FC4}"/>
    <cellStyle name="40% - Accent3 2 3 4 3 3" xfId="22709" xr:uid="{2C49A9C8-11DB-4626-8AD7-4388E45DC6A0}"/>
    <cellStyle name="40% - Accent3 2 3 4 4" xfId="10044" xr:uid="{E2C5A53F-0D82-4B26-9962-E25465373BAB}"/>
    <cellStyle name="40% - Accent3 2 3 4 5" xfId="18492" xr:uid="{5BAF4BC2-7406-4038-88C3-DDC6F4C10FA2}"/>
    <cellStyle name="40% - Accent3 2 3 5" xfId="1919" xr:uid="{00000000-0005-0000-0000-000038050000}"/>
    <cellStyle name="40% - Accent3 2 3 5 2" xfId="4148" xr:uid="{00000000-0005-0000-0000-000039050000}"/>
    <cellStyle name="40% - Accent3 2 3 5 2 2" xfId="8370" xr:uid="{00000000-0005-0000-0000-00003A050000}"/>
    <cellStyle name="40% - Accent3 2 3 5 2 2 2" xfId="16820" xr:uid="{E189A6C1-E47E-40D6-BA71-9354B2D2B09E}"/>
    <cellStyle name="40% - Accent3 2 3 5 2 2 3" xfId="25267" xr:uid="{634C8A68-B1EA-4820-B8EE-D4F165AFABE3}"/>
    <cellStyle name="40% - Accent3 2 3 5 2 3" xfId="12602" xr:uid="{687B5614-5BEF-4611-813C-B1740C8231E6}"/>
    <cellStyle name="40% - Accent3 2 3 5 2 4" xfId="21050" xr:uid="{222A4214-9BE1-43F1-9AC3-706623DD28C9}"/>
    <cellStyle name="40% - Accent3 2 3 5 3" xfId="6225" xr:uid="{00000000-0005-0000-0000-00003B050000}"/>
    <cellStyle name="40% - Accent3 2 3 5 3 2" xfId="14675" xr:uid="{AE11F81A-6036-4E8B-90D8-B9F707D43EE3}"/>
    <cellStyle name="40% - Accent3 2 3 5 3 3" xfId="23122" xr:uid="{9832A8C8-442B-4F49-99E0-D5F7842A115E}"/>
    <cellStyle name="40% - Accent3 2 3 5 4" xfId="10457" xr:uid="{D5AA416A-518E-437C-B9FE-EDABD0EA411E}"/>
    <cellStyle name="40% - Accent3 2 3 5 5" xfId="18905" xr:uid="{D51CBE82-1E69-456E-A39B-3C122C1E2B3C}"/>
    <cellStyle name="40% - Accent3 2 3 6" xfId="2332" xr:uid="{00000000-0005-0000-0000-00003C050000}"/>
    <cellStyle name="40% - Accent3 2 3 6 2" xfId="6638" xr:uid="{00000000-0005-0000-0000-00003D050000}"/>
    <cellStyle name="40% - Accent3 2 3 6 2 2" xfId="15088" xr:uid="{E8DEFFB6-D9DE-439A-BC64-9943FB7A5C73}"/>
    <cellStyle name="40% - Accent3 2 3 6 2 3" xfId="23535" xr:uid="{FDBD82FB-4E42-4D53-B4C2-4DBDD442B1F0}"/>
    <cellStyle name="40% - Accent3 2 3 6 3" xfId="10870" xr:uid="{FEF4E5F2-27B4-4BA7-A12D-DFFF7C90720D}"/>
    <cellStyle name="40% - Accent3 2 3 6 4" xfId="19318" xr:uid="{9522915B-EC9C-49FA-A12F-88DE03D2D234}"/>
    <cellStyle name="40% - Accent3 2 3 7" xfId="4572" xr:uid="{00000000-0005-0000-0000-00003E050000}"/>
    <cellStyle name="40% - Accent3 2 3 7 2" xfId="13022" xr:uid="{C4007774-E2CA-4655-8760-8452E9CC47F5}"/>
    <cellStyle name="40% - Accent3 2 3 7 3" xfId="21469" xr:uid="{4554588C-A484-4970-A293-6B386E47B753}"/>
    <cellStyle name="40% - Accent3 2 3 8" xfId="8804" xr:uid="{D71EDF91-D153-483A-BEFD-A7ABCCB01DA3}"/>
    <cellStyle name="40% - Accent3 2 3 9" xfId="17252" xr:uid="{7A1D6B38-B2D5-467D-883F-DDF33266AF32}"/>
    <cellStyle name="40% - Accent3 2 4" xfId="635" xr:uid="{00000000-0005-0000-0000-00003F050000}"/>
    <cellStyle name="40% - Accent3 2 4 2" xfId="2906" xr:uid="{00000000-0005-0000-0000-000040050000}"/>
    <cellStyle name="40% - Accent3 2 4 2 2" xfId="7128" xr:uid="{00000000-0005-0000-0000-000041050000}"/>
    <cellStyle name="40% - Accent3 2 4 2 2 2" xfId="15578" xr:uid="{B54DBECD-DCA6-45C3-A060-0C206251D840}"/>
    <cellStyle name="40% - Accent3 2 4 2 2 3" xfId="24025" xr:uid="{03250EC7-D4FC-4224-858F-48917ED5C011}"/>
    <cellStyle name="40% - Accent3 2 4 2 3" xfId="11360" xr:uid="{55000903-465C-464F-BA38-6B282BEF9A6B}"/>
    <cellStyle name="40% - Accent3 2 4 2 4" xfId="19808" xr:uid="{6A6358EA-E87A-4066-83A2-7119A5DA6587}"/>
    <cellStyle name="40% - Accent3 2 4 3" xfId="4983" xr:uid="{00000000-0005-0000-0000-000042050000}"/>
    <cellStyle name="40% - Accent3 2 4 3 2" xfId="13433" xr:uid="{471EEADF-F9F3-4929-A104-58954A53C17D}"/>
    <cellStyle name="40% - Accent3 2 4 3 3" xfId="21880" xr:uid="{2620BBC5-3183-4B3B-A412-214C6BDFDC65}"/>
    <cellStyle name="40% - Accent3 2 4 4" xfId="9215" xr:uid="{0BDC541E-1CC4-40F9-A51C-F2722CAF492F}"/>
    <cellStyle name="40% - Accent3 2 4 5" xfId="17663" xr:uid="{51682C20-5DD1-454A-9195-B6BD337A655D}"/>
    <cellStyle name="40% - Accent3 2 5" xfId="1088" xr:uid="{00000000-0005-0000-0000-000043050000}"/>
    <cellStyle name="40% - Accent3 2 5 2" xfId="3319" xr:uid="{00000000-0005-0000-0000-000044050000}"/>
    <cellStyle name="40% - Accent3 2 5 2 2" xfId="7541" xr:uid="{00000000-0005-0000-0000-000045050000}"/>
    <cellStyle name="40% - Accent3 2 5 2 2 2" xfId="15991" xr:uid="{2C94EBD9-842C-4CBA-A35A-18B590913C7B}"/>
    <cellStyle name="40% - Accent3 2 5 2 2 3" xfId="24438" xr:uid="{8C11F516-8B66-45C5-8C12-21C89969616C}"/>
    <cellStyle name="40% - Accent3 2 5 2 3" xfId="11773" xr:uid="{2F80AD05-E5A0-4C5B-B96E-B8F9EA2FBCFA}"/>
    <cellStyle name="40% - Accent3 2 5 2 4" xfId="20221" xr:uid="{AB8E114E-277B-4191-B468-F0903FE4F124}"/>
    <cellStyle name="40% - Accent3 2 5 3" xfId="5396" xr:uid="{00000000-0005-0000-0000-000046050000}"/>
    <cellStyle name="40% - Accent3 2 5 3 2" xfId="13846" xr:uid="{F77BB3C0-EDFD-455C-B495-04BE1E159106}"/>
    <cellStyle name="40% - Accent3 2 5 3 3" xfId="22293" xr:uid="{C3F2F8BA-A13E-455D-98F7-AB8B45775DBA}"/>
    <cellStyle name="40% - Accent3 2 5 4" xfId="9628" xr:uid="{70FDE505-6828-44F3-955B-767DD0C606DA}"/>
    <cellStyle name="40% - Accent3 2 5 5" xfId="18076" xr:uid="{87604FD9-CAD9-4ED5-BA8F-CC654E8CA096}"/>
    <cellStyle name="40% - Accent3 2 6" xfId="1502" xr:uid="{00000000-0005-0000-0000-000047050000}"/>
    <cellStyle name="40% - Accent3 2 6 2" xfId="3732" xr:uid="{00000000-0005-0000-0000-000048050000}"/>
    <cellStyle name="40% - Accent3 2 6 2 2" xfId="7954" xr:uid="{00000000-0005-0000-0000-000049050000}"/>
    <cellStyle name="40% - Accent3 2 6 2 2 2" xfId="16404" xr:uid="{449409BB-188A-4938-9469-55BC05C3EFF6}"/>
    <cellStyle name="40% - Accent3 2 6 2 2 3" xfId="24851" xr:uid="{A135AD5D-440D-426C-91F1-E7749F0D14E9}"/>
    <cellStyle name="40% - Accent3 2 6 2 3" xfId="12186" xr:uid="{A1B321B9-81B0-4D7A-A672-FB8CFF5FB823}"/>
    <cellStyle name="40% - Accent3 2 6 2 4" xfId="20634" xr:uid="{42649C4F-F966-4B77-82D6-CE08F0513537}"/>
    <cellStyle name="40% - Accent3 2 6 3" xfId="5809" xr:uid="{00000000-0005-0000-0000-00004A050000}"/>
    <cellStyle name="40% - Accent3 2 6 3 2" xfId="14259" xr:uid="{7EF77638-5028-47D4-9FCB-8BA23EB3014E}"/>
    <cellStyle name="40% - Accent3 2 6 3 3" xfId="22706" xr:uid="{C2CF882D-1940-44D9-A049-C9B74499F01A}"/>
    <cellStyle name="40% - Accent3 2 6 4" xfId="10041" xr:uid="{12FC1E5C-C144-4FD7-9907-0D53D9B439DF}"/>
    <cellStyle name="40% - Accent3 2 6 5" xfId="18489" xr:uid="{679395F5-BA0B-4F3C-AC5C-9F959E04A1F6}"/>
    <cellStyle name="40% - Accent3 2 7" xfId="1916" xr:uid="{00000000-0005-0000-0000-00004B050000}"/>
    <cellStyle name="40% - Accent3 2 7 2" xfId="4145" xr:uid="{00000000-0005-0000-0000-00004C050000}"/>
    <cellStyle name="40% - Accent3 2 7 2 2" xfId="8367" xr:uid="{00000000-0005-0000-0000-00004D050000}"/>
    <cellStyle name="40% - Accent3 2 7 2 2 2" xfId="16817" xr:uid="{6D16A559-EC57-4C74-AC7F-509C57B375F3}"/>
    <cellStyle name="40% - Accent3 2 7 2 2 3" xfId="25264" xr:uid="{C32AB787-1394-4D05-9258-3BF715380B9C}"/>
    <cellStyle name="40% - Accent3 2 7 2 3" xfId="12599" xr:uid="{38F25A63-B7AA-42E2-9140-B37E8754CA4C}"/>
    <cellStyle name="40% - Accent3 2 7 2 4" xfId="21047" xr:uid="{99898012-CB7B-4024-AD0E-8B9DA004DBD1}"/>
    <cellStyle name="40% - Accent3 2 7 3" xfId="6222" xr:uid="{00000000-0005-0000-0000-00004E050000}"/>
    <cellStyle name="40% - Accent3 2 7 3 2" xfId="14672" xr:uid="{836FAB95-E5BB-44DE-BB88-DAC9999C22FB}"/>
    <cellStyle name="40% - Accent3 2 7 3 3" xfId="23119" xr:uid="{7C3F85F3-6E91-4480-B54F-32221ABBE387}"/>
    <cellStyle name="40% - Accent3 2 7 4" xfId="10454" xr:uid="{30D3FCBF-079D-46A5-8E0D-2C338BDFA5E1}"/>
    <cellStyle name="40% - Accent3 2 7 5" xfId="18902" xr:uid="{3E30A300-D0E9-4E2E-AB60-C6794A9F0D92}"/>
    <cellStyle name="40% - Accent3 2 8" xfId="2329" xr:uid="{00000000-0005-0000-0000-00004F050000}"/>
    <cellStyle name="40% - Accent3 2 8 2" xfId="6635" xr:uid="{00000000-0005-0000-0000-000050050000}"/>
    <cellStyle name="40% - Accent3 2 8 2 2" xfId="15085" xr:uid="{2876E9D7-163D-46F8-AD2F-92354885B7A6}"/>
    <cellStyle name="40% - Accent3 2 8 2 3" xfId="23532" xr:uid="{1B11A7EF-1192-4CDF-9C02-41C45ECCEEC8}"/>
    <cellStyle name="40% - Accent3 2 8 3" xfId="10867" xr:uid="{C21540FF-405F-4222-B006-CEF5F2D3B1B5}"/>
    <cellStyle name="40% - Accent3 2 8 4" xfId="19315" xr:uid="{6979F7BD-34FF-4782-B4C0-8A8A87C152CB}"/>
    <cellStyle name="40% - Accent3 2 9" xfId="4569" xr:uid="{00000000-0005-0000-0000-000051050000}"/>
    <cellStyle name="40% - Accent3 2 9 2" xfId="13019" xr:uid="{4B1FF1C8-0BB0-40AE-8896-F5812EE410AC}"/>
    <cellStyle name="40% - Accent3 2 9 3" xfId="21466" xr:uid="{38584D21-CEC7-4735-AB5F-0E0EDD3F5138}"/>
    <cellStyle name="40% - Accent3 3" xfId="70" xr:uid="{00000000-0005-0000-0000-000052050000}"/>
    <cellStyle name="40% - Accent3 3 10" xfId="17253" xr:uid="{797B6AF4-BCD6-4AE7-B69B-D38293FB423D}"/>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2 2 2" xfId="15583" xr:uid="{B9B8B3AE-5634-4638-B607-368677121E46}"/>
    <cellStyle name="40% - Accent3 3 2 2 2 2 3" xfId="24030" xr:uid="{20540AE2-C934-4126-B085-ECF24D9D86B9}"/>
    <cellStyle name="40% - Accent3 3 2 2 2 3" xfId="11365" xr:uid="{9C4B2EDF-40D3-4086-BAF8-A12711E731D7}"/>
    <cellStyle name="40% - Accent3 3 2 2 2 4" xfId="19813" xr:uid="{48CD2AA1-2B43-4544-ACAB-9C1607CB9CCA}"/>
    <cellStyle name="40% - Accent3 3 2 2 3" xfId="4988" xr:uid="{00000000-0005-0000-0000-000057050000}"/>
    <cellStyle name="40% - Accent3 3 2 2 3 2" xfId="13438" xr:uid="{C06A2101-7971-420B-B5E6-3975BB32E9CB}"/>
    <cellStyle name="40% - Accent3 3 2 2 3 3" xfId="21885" xr:uid="{4BE37EF4-53EC-42DF-9428-8AE5CAAEAE91}"/>
    <cellStyle name="40% - Accent3 3 2 2 4" xfId="9220" xr:uid="{1E709E6D-F341-47DF-ABE7-684B82145C5B}"/>
    <cellStyle name="40% - Accent3 3 2 2 5" xfId="17668" xr:uid="{87C0EE5C-1E22-4079-9719-663F15ADB1C9}"/>
    <cellStyle name="40% - Accent3 3 2 3" xfId="1093" xr:uid="{00000000-0005-0000-0000-000058050000}"/>
    <cellStyle name="40% - Accent3 3 2 3 2" xfId="3324" xr:uid="{00000000-0005-0000-0000-000059050000}"/>
    <cellStyle name="40% - Accent3 3 2 3 2 2" xfId="7546" xr:uid="{00000000-0005-0000-0000-00005A050000}"/>
    <cellStyle name="40% - Accent3 3 2 3 2 2 2" xfId="15996" xr:uid="{ED3A5D14-5572-4FE3-B0BD-D4C6467A3921}"/>
    <cellStyle name="40% - Accent3 3 2 3 2 2 3" xfId="24443" xr:uid="{230C20FD-EAC1-4ABC-8A53-3B637DE23A58}"/>
    <cellStyle name="40% - Accent3 3 2 3 2 3" xfId="11778" xr:uid="{488A408B-631D-40B9-929E-EE59784DF1C1}"/>
    <cellStyle name="40% - Accent3 3 2 3 2 4" xfId="20226" xr:uid="{B56DDED3-B755-4C4C-BF63-1E4F930FFCD7}"/>
    <cellStyle name="40% - Accent3 3 2 3 3" xfId="5401" xr:uid="{00000000-0005-0000-0000-00005B050000}"/>
    <cellStyle name="40% - Accent3 3 2 3 3 2" xfId="13851" xr:uid="{ADE60EE3-9CB7-46E6-870B-9944CB8EC91D}"/>
    <cellStyle name="40% - Accent3 3 2 3 3 3" xfId="22298" xr:uid="{5FBD1231-1AD3-4BC8-B81D-208BCA585ECE}"/>
    <cellStyle name="40% - Accent3 3 2 3 4" xfId="9633" xr:uid="{0E1EEAAB-4D74-4B8F-A6A3-92E8C36C7A09}"/>
    <cellStyle name="40% - Accent3 3 2 3 5" xfId="18081" xr:uid="{EAA54700-24CC-4560-BD82-35FF46CB0E27}"/>
    <cellStyle name="40% - Accent3 3 2 4" xfId="1507" xr:uid="{00000000-0005-0000-0000-00005C050000}"/>
    <cellStyle name="40% - Accent3 3 2 4 2" xfId="3737" xr:uid="{00000000-0005-0000-0000-00005D050000}"/>
    <cellStyle name="40% - Accent3 3 2 4 2 2" xfId="7959" xr:uid="{00000000-0005-0000-0000-00005E050000}"/>
    <cellStyle name="40% - Accent3 3 2 4 2 2 2" xfId="16409" xr:uid="{9EF13CF1-AC0A-4550-95E3-4EF2A8F49B6C}"/>
    <cellStyle name="40% - Accent3 3 2 4 2 2 3" xfId="24856" xr:uid="{93C7876B-29EE-4C3B-BCC0-94826C0E9421}"/>
    <cellStyle name="40% - Accent3 3 2 4 2 3" xfId="12191" xr:uid="{7315F814-52D2-4850-B5E6-0AF7E629C2E4}"/>
    <cellStyle name="40% - Accent3 3 2 4 2 4" xfId="20639" xr:uid="{2A534ED2-07E8-4B1B-8DB6-E8AED64117FD}"/>
    <cellStyle name="40% - Accent3 3 2 4 3" xfId="5814" xr:uid="{00000000-0005-0000-0000-00005F050000}"/>
    <cellStyle name="40% - Accent3 3 2 4 3 2" xfId="14264" xr:uid="{3486EEA5-6B6A-44C4-95C1-D790DC906110}"/>
    <cellStyle name="40% - Accent3 3 2 4 3 3" xfId="22711" xr:uid="{4093C92E-FD7A-4864-9DA2-14F3B355CE83}"/>
    <cellStyle name="40% - Accent3 3 2 4 4" xfId="10046" xr:uid="{BF8C347C-91ED-44D8-B11F-540D2600F0F4}"/>
    <cellStyle name="40% - Accent3 3 2 4 5" xfId="18494" xr:uid="{A4311D93-188B-4CE1-AECA-530180F28100}"/>
    <cellStyle name="40% - Accent3 3 2 5" xfId="1921" xr:uid="{00000000-0005-0000-0000-000060050000}"/>
    <cellStyle name="40% - Accent3 3 2 5 2" xfId="4150" xr:uid="{00000000-0005-0000-0000-000061050000}"/>
    <cellStyle name="40% - Accent3 3 2 5 2 2" xfId="8372" xr:uid="{00000000-0005-0000-0000-000062050000}"/>
    <cellStyle name="40% - Accent3 3 2 5 2 2 2" xfId="16822" xr:uid="{5D51C6ED-6CBC-4A06-8B37-E94382F5B0A8}"/>
    <cellStyle name="40% - Accent3 3 2 5 2 2 3" xfId="25269" xr:uid="{51AAF4BA-CB3B-420D-82D9-A209C5630F93}"/>
    <cellStyle name="40% - Accent3 3 2 5 2 3" xfId="12604" xr:uid="{C36401EB-B1B1-4DEC-8CC8-FCC6B98A630F}"/>
    <cellStyle name="40% - Accent3 3 2 5 2 4" xfId="21052" xr:uid="{B1C6F0D0-3B0A-4BE7-B472-512860CACE69}"/>
    <cellStyle name="40% - Accent3 3 2 5 3" xfId="6227" xr:uid="{00000000-0005-0000-0000-000063050000}"/>
    <cellStyle name="40% - Accent3 3 2 5 3 2" xfId="14677" xr:uid="{31C7B367-7B3C-4895-85FE-EFFAE4B4490A}"/>
    <cellStyle name="40% - Accent3 3 2 5 3 3" xfId="23124" xr:uid="{321F7662-772F-4EFF-B25B-090C10C83DFE}"/>
    <cellStyle name="40% - Accent3 3 2 5 4" xfId="10459" xr:uid="{E750755E-CB80-4D15-8CAA-D99572425BA0}"/>
    <cellStyle name="40% - Accent3 3 2 5 5" xfId="18907" xr:uid="{E17B9E1E-7E38-4007-A8C6-11D66E4E6899}"/>
    <cellStyle name="40% - Accent3 3 2 6" xfId="2334" xr:uid="{00000000-0005-0000-0000-000064050000}"/>
    <cellStyle name="40% - Accent3 3 2 6 2" xfId="6640" xr:uid="{00000000-0005-0000-0000-000065050000}"/>
    <cellStyle name="40% - Accent3 3 2 6 2 2" xfId="15090" xr:uid="{C7ED07BE-6B7C-4CB0-8E6D-025845577B49}"/>
    <cellStyle name="40% - Accent3 3 2 6 2 3" xfId="23537" xr:uid="{2AFC443D-AF00-44B7-841D-50C178DD92C2}"/>
    <cellStyle name="40% - Accent3 3 2 6 3" xfId="10872" xr:uid="{DE2FA6E7-02C1-4AC0-AA20-9C60202788A3}"/>
    <cellStyle name="40% - Accent3 3 2 6 4" xfId="19320" xr:uid="{5D1E7389-A0FC-47C7-877C-FD0391FC9318}"/>
    <cellStyle name="40% - Accent3 3 2 7" xfId="4574" xr:uid="{00000000-0005-0000-0000-000066050000}"/>
    <cellStyle name="40% - Accent3 3 2 7 2" xfId="13024" xr:uid="{0EF27914-2005-4154-8AA4-634E6421DCF3}"/>
    <cellStyle name="40% - Accent3 3 2 7 3" xfId="21471" xr:uid="{A7B8ADF4-6D4A-49BB-A059-D496C6671B03}"/>
    <cellStyle name="40% - Accent3 3 2 8" xfId="8806" xr:uid="{EDF0BB6B-F677-4286-94E5-8073BC385C59}"/>
    <cellStyle name="40% - Accent3 3 2 9" xfId="17254" xr:uid="{D5EF0E1B-EACA-481B-ACD4-C97C8C4B3298}"/>
    <cellStyle name="40% - Accent3 3 3" xfId="639" xr:uid="{00000000-0005-0000-0000-000067050000}"/>
    <cellStyle name="40% - Accent3 3 3 2" xfId="2910" xr:uid="{00000000-0005-0000-0000-000068050000}"/>
    <cellStyle name="40% - Accent3 3 3 2 2" xfId="7132" xr:uid="{00000000-0005-0000-0000-000069050000}"/>
    <cellStyle name="40% - Accent3 3 3 2 2 2" xfId="15582" xr:uid="{954A5C59-86F0-4423-8F48-423AC5CEFEF2}"/>
    <cellStyle name="40% - Accent3 3 3 2 2 3" xfId="24029" xr:uid="{D8E4B564-EBB8-4997-B7A4-99F77F5F777F}"/>
    <cellStyle name="40% - Accent3 3 3 2 3" xfId="11364" xr:uid="{B7CFCF43-B8A0-432F-B877-B2BD502E5F77}"/>
    <cellStyle name="40% - Accent3 3 3 2 4" xfId="19812" xr:uid="{D8A85C98-585E-440A-A0AD-AE106AF7863C}"/>
    <cellStyle name="40% - Accent3 3 3 3" xfId="4987" xr:uid="{00000000-0005-0000-0000-00006A050000}"/>
    <cellStyle name="40% - Accent3 3 3 3 2" xfId="13437" xr:uid="{941209DD-E893-40AA-9886-3C4B6A4B86C2}"/>
    <cellStyle name="40% - Accent3 3 3 3 3" xfId="21884" xr:uid="{8DEFF834-73F6-4A07-AF8A-24B9B18FF535}"/>
    <cellStyle name="40% - Accent3 3 3 4" xfId="9219" xr:uid="{86AB850D-7B11-47EF-8939-32BEF7C641C0}"/>
    <cellStyle name="40% - Accent3 3 3 5" xfId="17667" xr:uid="{9EE2E10A-583A-4943-9EF2-7627FEDE5385}"/>
    <cellStyle name="40% - Accent3 3 4" xfId="1092" xr:uid="{00000000-0005-0000-0000-00006B050000}"/>
    <cellStyle name="40% - Accent3 3 4 2" xfId="3323" xr:uid="{00000000-0005-0000-0000-00006C050000}"/>
    <cellStyle name="40% - Accent3 3 4 2 2" xfId="7545" xr:uid="{00000000-0005-0000-0000-00006D050000}"/>
    <cellStyle name="40% - Accent3 3 4 2 2 2" xfId="15995" xr:uid="{1A9983A4-B487-4FCE-A204-0C7BB5860E82}"/>
    <cellStyle name="40% - Accent3 3 4 2 2 3" xfId="24442" xr:uid="{6421B4A9-1936-4170-BA71-44F88BD2F4C8}"/>
    <cellStyle name="40% - Accent3 3 4 2 3" xfId="11777" xr:uid="{9732B843-F9FC-4833-8685-0D37CC118362}"/>
    <cellStyle name="40% - Accent3 3 4 2 4" xfId="20225" xr:uid="{77632093-EBDA-4829-BF6C-4E0303E682BB}"/>
    <cellStyle name="40% - Accent3 3 4 3" xfId="5400" xr:uid="{00000000-0005-0000-0000-00006E050000}"/>
    <cellStyle name="40% - Accent3 3 4 3 2" xfId="13850" xr:uid="{8DDF1D53-697C-4914-8056-0F71013CC006}"/>
    <cellStyle name="40% - Accent3 3 4 3 3" xfId="22297" xr:uid="{A129986A-A650-46CC-930F-52789CF2ACDF}"/>
    <cellStyle name="40% - Accent3 3 4 4" xfId="9632" xr:uid="{3E0AFDDB-261D-42DE-9BF7-A76042E309EB}"/>
    <cellStyle name="40% - Accent3 3 4 5" xfId="18080" xr:uid="{D09D819C-979E-49EE-A28B-8A21692AA2BC}"/>
    <cellStyle name="40% - Accent3 3 5" xfId="1506" xr:uid="{00000000-0005-0000-0000-00006F050000}"/>
    <cellStyle name="40% - Accent3 3 5 2" xfId="3736" xr:uid="{00000000-0005-0000-0000-000070050000}"/>
    <cellStyle name="40% - Accent3 3 5 2 2" xfId="7958" xr:uid="{00000000-0005-0000-0000-000071050000}"/>
    <cellStyle name="40% - Accent3 3 5 2 2 2" xfId="16408" xr:uid="{2031B76A-7038-4901-B889-5419114985DE}"/>
    <cellStyle name="40% - Accent3 3 5 2 2 3" xfId="24855" xr:uid="{53608FE9-D67F-437E-8BC8-AC8A981198DE}"/>
    <cellStyle name="40% - Accent3 3 5 2 3" xfId="12190" xr:uid="{23BB6D64-6DE1-4999-9102-391AC016F599}"/>
    <cellStyle name="40% - Accent3 3 5 2 4" xfId="20638" xr:uid="{155933F9-8716-459C-AA9A-751629E5BC13}"/>
    <cellStyle name="40% - Accent3 3 5 3" xfId="5813" xr:uid="{00000000-0005-0000-0000-000072050000}"/>
    <cellStyle name="40% - Accent3 3 5 3 2" xfId="14263" xr:uid="{811904F5-107D-4658-9FD8-A162503ABFB4}"/>
    <cellStyle name="40% - Accent3 3 5 3 3" xfId="22710" xr:uid="{484CB7EC-2C66-41E7-AA94-99E37985201F}"/>
    <cellStyle name="40% - Accent3 3 5 4" xfId="10045" xr:uid="{AA5D330E-DB86-404E-8A17-BE6999F785C5}"/>
    <cellStyle name="40% - Accent3 3 5 5" xfId="18493" xr:uid="{65AC164D-9E84-403E-8117-1FB3637202BE}"/>
    <cellStyle name="40% - Accent3 3 6" xfId="1920" xr:uid="{00000000-0005-0000-0000-000073050000}"/>
    <cellStyle name="40% - Accent3 3 6 2" xfId="4149" xr:uid="{00000000-0005-0000-0000-000074050000}"/>
    <cellStyle name="40% - Accent3 3 6 2 2" xfId="8371" xr:uid="{00000000-0005-0000-0000-000075050000}"/>
    <cellStyle name="40% - Accent3 3 6 2 2 2" xfId="16821" xr:uid="{F238749B-FB42-44A8-A9C2-271191ECE18C}"/>
    <cellStyle name="40% - Accent3 3 6 2 2 3" xfId="25268" xr:uid="{F2896ADE-FE9E-4248-B83B-1F7859FACAAB}"/>
    <cellStyle name="40% - Accent3 3 6 2 3" xfId="12603" xr:uid="{EB850070-234F-4552-B705-43F027E26AEF}"/>
    <cellStyle name="40% - Accent3 3 6 2 4" xfId="21051" xr:uid="{D46293E8-E96A-484E-859C-392033346C49}"/>
    <cellStyle name="40% - Accent3 3 6 3" xfId="6226" xr:uid="{00000000-0005-0000-0000-000076050000}"/>
    <cellStyle name="40% - Accent3 3 6 3 2" xfId="14676" xr:uid="{0D634640-C62C-4D46-8D79-CD53F3C51481}"/>
    <cellStyle name="40% - Accent3 3 6 3 3" xfId="23123" xr:uid="{420DA6C0-ADFA-41ED-9459-0F8F60E0882E}"/>
    <cellStyle name="40% - Accent3 3 6 4" xfId="10458" xr:uid="{9ABFD16C-B8AE-44A2-9614-7FC80D394CBF}"/>
    <cellStyle name="40% - Accent3 3 6 5" xfId="18906" xr:uid="{2C5F722C-E1B9-423D-8A2B-47FC5426AEC1}"/>
    <cellStyle name="40% - Accent3 3 7" xfId="2333" xr:uid="{00000000-0005-0000-0000-000077050000}"/>
    <cellStyle name="40% - Accent3 3 7 2" xfId="6639" xr:uid="{00000000-0005-0000-0000-000078050000}"/>
    <cellStyle name="40% - Accent3 3 7 2 2" xfId="15089" xr:uid="{0DBCC39C-2D23-4448-A894-2BB8296FADB0}"/>
    <cellStyle name="40% - Accent3 3 7 2 3" xfId="23536" xr:uid="{9BA89AD6-7B33-4111-BFE1-0181B504D27C}"/>
    <cellStyle name="40% - Accent3 3 7 3" xfId="10871" xr:uid="{F45CE2ED-ABDF-4787-8580-52EF4BE9CCC1}"/>
    <cellStyle name="40% - Accent3 3 7 4" xfId="19319" xr:uid="{0C6DC4D9-F374-45E9-92DD-F1EA44BEBAC3}"/>
    <cellStyle name="40% - Accent3 3 8" xfId="4573" xr:uid="{00000000-0005-0000-0000-000079050000}"/>
    <cellStyle name="40% - Accent3 3 8 2" xfId="13023" xr:uid="{90575F6B-23FE-4A55-AE78-D4E5780ECB5E}"/>
    <cellStyle name="40% - Accent3 3 8 3" xfId="21470" xr:uid="{9BF5A406-A02F-4A54-818E-572F90787469}"/>
    <cellStyle name="40% - Accent3 3 9" xfId="8805" xr:uid="{D1E1A5DD-CEE6-4B75-884E-BE6038F7292D}"/>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2 2 2" xfId="15584" xr:uid="{3CF2BE75-82A2-46EB-B248-36DFD1184BF6}"/>
    <cellStyle name="40% - Accent3 4 2 2 2 3" xfId="24031" xr:uid="{91054AC6-80C9-4C3C-8348-324F56313A44}"/>
    <cellStyle name="40% - Accent3 4 2 2 3" xfId="11366" xr:uid="{A77EB4EC-E670-412F-A360-F5A146D4E9CD}"/>
    <cellStyle name="40% - Accent3 4 2 2 4" xfId="19814" xr:uid="{CE4EFCCC-A032-446D-99A5-44175D46C394}"/>
    <cellStyle name="40% - Accent3 4 2 3" xfId="4989" xr:uid="{00000000-0005-0000-0000-00007E050000}"/>
    <cellStyle name="40% - Accent3 4 2 3 2" xfId="13439" xr:uid="{3EC11F25-AD66-4CA6-B170-1241D47C2326}"/>
    <cellStyle name="40% - Accent3 4 2 3 3" xfId="21886" xr:uid="{074B1548-172A-4FAF-B6FA-6C429CC3388D}"/>
    <cellStyle name="40% - Accent3 4 2 4" xfId="9221" xr:uid="{7AC8937A-02CF-418E-A22E-1B0059B2BD7C}"/>
    <cellStyle name="40% - Accent3 4 2 5" xfId="17669" xr:uid="{A19F5931-788A-4B4D-B23A-ACC1BD7D7B9A}"/>
    <cellStyle name="40% - Accent3 4 3" xfId="1094" xr:uid="{00000000-0005-0000-0000-00007F050000}"/>
    <cellStyle name="40% - Accent3 4 3 2" xfId="3325" xr:uid="{00000000-0005-0000-0000-000080050000}"/>
    <cellStyle name="40% - Accent3 4 3 2 2" xfId="7547" xr:uid="{00000000-0005-0000-0000-000081050000}"/>
    <cellStyle name="40% - Accent3 4 3 2 2 2" xfId="15997" xr:uid="{8C9B6709-52F0-4E95-873D-D995206057AA}"/>
    <cellStyle name="40% - Accent3 4 3 2 2 3" xfId="24444" xr:uid="{572B5FB5-6F96-4559-B2DA-9346E6AADDB5}"/>
    <cellStyle name="40% - Accent3 4 3 2 3" xfId="11779" xr:uid="{26AC3E86-EAE3-4382-8477-E49D5F96B223}"/>
    <cellStyle name="40% - Accent3 4 3 2 4" xfId="20227" xr:uid="{BFE61CFB-956B-496E-B1A9-C9911D610668}"/>
    <cellStyle name="40% - Accent3 4 3 3" xfId="5402" xr:uid="{00000000-0005-0000-0000-000082050000}"/>
    <cellStyle name="40% - Accent3 4 3 3 2" xfId="13852" xr:uid="{3019DDF9-3FD3-437C-946B-97F620334870}"/>
    <cellStyle name="40% - Accent3 4 3 3 3" xfId="22299" xr:uid="{42C6EA2E-262A-42F4-99E3-27E37630D41A}"/>
    <cellStyle name="40% - Accent3 4 3 4" xfId="9634" xr:uid="{84B60105-C2B4-4713-AC50-7227BECDA957}"/>
    <cellStyle name="40% - Accent3 4 3 5" xfId="18082" xr:uid="{B7D22165-0288-4A43-A8C6-140A5D568483}"/>
    <cellStyle name="40% - Accent3 4 4" xfId="1508" xr:uid="{00000000-0005-0000-0000-000083050000}"/>
    <cellStyle name="40% - Accent3 4 4 2" xfId="3738" xr:uid="{00000000-0005-0000-0000-000084050000}"/>
    <cellStyle name="40% - Accent3 4 4 2 2" xfId="7960" xr:uid="{00000000-0005-0000-0000-000085050000}"/>
    <cellStyle name="40% - Accent3 4 4 2 2 2" xfId="16410" xr:uid="{893DD1DB-5C6E-437A-9448-890A04F32471}"/>
    <cellStyle name="40% - Accent3 4 4 2 2 3" xfId="24857" xr:uid="{5E0D5C05-7EF9-4A7D-A850-46F45D95F3EE}"/>
    <cellStyle name="40% - Accent3 4 4 2 3" xfId="12192" xr:uid="{95D41606-C602-4624-B9B9-3B6C9993AA5D}"/>
    <cellStyle name="40% - Accent3 4 4 2 4" xfId="20640" xr:uid="{4B04AD7A-7F90-4A0B-A653-CD29780FA66A}"/>
    <cellStyle name="40% - Accent3 4 4 3" xfId="5815" xr:uid="{00000000-0005-0000-0000-000086050000}"/>
    <cellStyle name="40% - Accent3 4 4 3 2" xfId="14265" xr:uid="{9849395C-4143-45AF-AAEA-577A1DD802D5}"/>
    <cellStyle name="40% - Accent3 4 4 3 3" xfId="22712" xr:uid="{6785512F-7F8C-4DE4-944D-B5E53E510B93}"/>
    <cellStyle name="40% - Accent3 4 4 4" xfId="10047" xr:uid="{94250EBA-A0A2-49F9-97DB-58C093F55DA3}"/>
    <cellStyle name="40% - Accent3 4 4 5" xfId="18495" xr:uid="{86B19F6B-D017-447D-9AFE-B0AFCA6D7626}"/>
    <cellStyle name="40% - Accent3 4 5" xfId="1922" xr:uid="{00000000-0005-0000-0000-000087050000}"/>
    <cellStyle name="40% - Accent3 4 5 2" xfId="4151" xr:uid="{00000000-0005-0000-0000-000088050000}"/>
    <cellStyle name="40% - Accent3 4 5 2 2" xfId="8373" xr:uid="{00000000-0005-0000-0000-000089050000}"/>
    <cellStyle name="40% - Accent3 4 5 2 2 2" xfId="16823" xr:uid="{9FF7CF74-563C-479C-846E-A076173E9C10}"/>
    <cellStyle name="40% - Accent3 4 5 2 2 3" xfId="25270" xr:uid="{6AB4E117-5598-4099-BB96-19C9BD8945E0}"/>
    <cellStyle name="40% - Accent3 4 5 2 3" xfId="12605" xr:uid="{5F84BFD1-483D-4E8C-8E8E-AD9C31A6999C}"/>
    <cellStyle name="40% - Accent3 4 5 2 4" xfId="21053" xr:uid="{9E4517A1-611F-497F-A64B-4338A7E4F9CC}"/>
    <cellStyle name="40% - Accent3 4 5 3" xfId="6228" xr:uid="{00000000-0005-0000-0000-00008A050000}"/>
    <cellStyle name="40% - Accent3 4 5 3 2" xfId="14678" xr:uid="{9BD5B2D3-E2D9-4780-B193-5245B3BC3DB7}"/>
    <cellStyle name="40% - Accent3 4 5 3 3" xfId="23125" xr:uid="{6503641D-4D74-4A35-B9FB-2CB4C67C33F6}"/>
    <cellStyle name="40% - Accent3 4 5 4" xfId="10460" xr:uid="{4A43BC00-883B-4203-BAA3-D96742E6C5B5}"/>
    <cellStyle name="40% - Accent3 4 5 5" xfId="18908" xr:uid="{34F39F86-FAC2-4BDE-B0F7-5BEA8F44CCAE}"/>
    <cellStyle name="40% - Accent3 4 6" xfId="2335" xr:uid="{00000000-0005-0000-0000-00008B050000}"/>
    <cellStyle name="40% - Accent3 4 6 2" xfId="6641" xr:uid="{00000000-0005-0000-0000-00008C050000}"/>
    <cellStyle name="40% - Accent3 4 6 2 2" xfId="15091" xr:uid="{691D42ED-8E25-4B1C-885D-9D2838CC8669}"/>
    <cellStyle name="40% - Accent3 4 6 2 3" xfId="23538" xr:uid="{E6363CC9-2D1B-4613-9BBB-985098CAFC47}"/>
    <cellStyle name="40% - Accent3 4 6 3" xfId="10873" xr:uid="{3ED6A594-FEA2-4BCA-9363-EE0E77A5E770}"/>
    <cellStyle name="40% - Accent3 4 6 4" xfId="19321" xr:uid="{547412B4-19DB-4C2A-87E6-CB5760C779D4}"/>
    <cellStyle name="40% - Accent3 4 7" xfId="4575" xr:uid="{00000000-0005-0000-0000-00008D050000}"/>
    <cellStyle name="40% - Accent3 4 7 2" xfId="13025" xr:uid="{EA290034-55F3-4806-9EE2-C930607B3A30}"/>
    <cellStyle name="40% - Accent3 4 7 3" xfId="21472" xr:uid="{732D01D7-FA33-4565-BEB1-97625738AF6E}"/>
    <cellStyle name="40% - Accent3 4 8" xfId="8807" xr:uid="{30E2DCD9-C9AA-43E2-A4BC-C70B50BD3194}"/>
    <cellStyle name="40% - Accent3 4 9" xfId="17255" xr:uid="{89C1DFA5-A3AC-4446-B460-96509B83889D}"/>
    <cellStyle name="40% - Accent3 5" xfId="634" xr:uid="{00000000-0005-0000-0000-00008E050000}"/>
    <cellStyle name="40% - Accent3 5 2" xfId="2905" xr:uid="{00000000-0005-0000-0000-00008F050000}"/>
    <cellStyle name="40% - Accent3 5 2 2" xfId="7127" xr:uid="{00000000-0005-0000-0000-000090050000}"/>
    <cellStyle name="40% - Accent3 5 2 2 2" xfId="15577" xr:uid="{D3E665C4-76F6-4EB5-A8EB-F4273EF41804}"/>
    <cellStyle name="40% - Accent3 5 2 2 3" xfId="24024" xr:uid="{96A727D2-0CCB-4197-8A09-46C3E2DB5C61}"/>
    <cellStyle name="40% - Accent3 5 2 3" xfId="11359" xr:uid="{901643F4-6B9A-4378-8CBD-9AB24AEFB9E1}"/>
    <cellStyle name="40% - Accent3 5 2 4" xfId="19807" xr:uid="{098001F7-1137-4D81-8964-B88A56F5745F}"/>
    <cellStyle name="40% - Accent3 5 3" xfId="4982" xr:uid="{00000000-0005-0000-0000-000091050000}"/>
    <cellStyle name="40% - Accent3 5 3 2" xfId="13432" xr:uid="{CB79EC83-77A6-4E72-BF88-444433604A44}"/>
    <cellStyle name="40% - Accent3 5 3 3" xfId="21879" xr:uid="{D694E1A1-F283-4FF1-9113-E74304BB6F14}"/>
    <cellStyle name="40% - Accent3 5 4" xfId="9214" xr:uid="{BA5E951E-67D5-4304-B0F6-ED31301BDF1E}"/>
    <cellStyle name="40% - Accent3 5 5" xfId="17662" xr:uid="{56E9A363-BB12-4A43-BD23-05C623A7BE28}"/>
    <cellStyle name="40% - Accent3 6" xfId="1087" xr:uid="{00000000-0005-0000-0000-000092050000}"/>
    <cellStyle name="40% - Accent3 6 2" xfId="3318" xr:uid="{00000000-0005-0000-0000-000093050000}"/>
    <cellStyle name="40% - Accent3 6 2 2" xfId="7540" xr:uid="{00000000-0005-0000-0000-000094050000}"/>
    <cellStyle name="40% - Accent3 6 2 2 2" xfId="15990" xr:uid="{8366A245-51EA-40F8-8EB8-6BD61D7FA8AE}"/>
    <cellStyle name="40% - Accent3 6 2 2 3" xfId="24437" xr:uid="{D5872FC3-0B9C-4333-9976-0C90683C21F7}"/>
    <cellStyle name="40% - Accent3 6 2 3" xfId="11772" xr:uid="{8CE3B9A8-B6BB-4C4D-965B-90A506810F98}"/>
    <cellStyle name="40% - Accent3 6 2 4" xfId="20220" xr:uid="{7D9248C0-1B58-43F2-A3B2-091D3F22DD33}"/>
    <cellStyle name="40% - Accent3 6 3" xfId="5395" xr:uid="{00000000-0005-0000-0000-000095050000}"/>
    <cellStyle name="40% - Accent3 6 3 2" xfId="13845" xr:uid="{697D95D6-E1A0-41C1-8909-5404632C3CDD}"/>
    <cellStyle name="40% - Accent3 6 3 3" xfId="22292" xr:uid="{07500C4F-FCC4-4221-AC8A-F7ED1E3C8548}"/>
    <cellStyle name="40% - Accent3 6 4" xfId="9627" xr:uid="{D1987BB2-8054-4C64-9DA5-C4C499E9489A}"/>
    <cellStyle name="40% - Accent3 6 5" xfId="18075" xr:uid="{8B51AFDD-3FAC-41EE-A176-F83C66C4C7A3}"/>
    <cellStyle name="40% - Accent3 7" xfId="1501" xr:uid="{00000000-0005-0000-0000-000096050000}"/>
    <cellStyle name="40% - Accent3 7 2" xfId="3731" xr:uid="{00000000-0005-0000-0000-000097050000}"/>
    <cellStyle name="40% - Accent3 7 2 2" xfId="7953" xr:uid="{00000000-0005-0000-0000-000098050000}"/>
    <cellStyle name="40% - Accent3 7 2 2 2" xfId="16403" xr:uid="{89BAA1F1-F918-4CD1-8DBB-16A4A63D1C9B}"/>
    <cellStyle name="40% - Accent3 7 2 2 3" xfId="24850" xr:uid="{21658C1A-D8A1-4735-B2E9-930268D05192}"/>
    <cellStyle name="40% - Accent3 7 2 3" xfId="12185" xr:uid="{33385045-52BD-486B-B209-13DF643BEC95}"/>
    <cellStyle name="40% - Accent3 7 2 4" xfId="20633" xr:uid="{FDAD3337-B719-4454-A82A-E0CE6E2F7623}"/>
    <cellStyle name="40% - Accent3 7 3" xfId="5808" xr:uid="{00000000-0005-0000-0000-000099050000}"/>
    <cellStyle name="40% - Accent3 7 3 2" xfId="14258" xr:uid="{E432E4F6-045A-49F7-89C3-AB330EA50760}"/>
    <cellStyle name="40% - Accent3 7 3 3" xfId="22705" xr:uid="{D2216BCD-8FD8-4A29-BDC7-9C167FC67F5E}"/>
    <cellStyle name="40% - Accent3 7 4" xfId="10040" xr:uid="{5A956DFD-18EF-4301-83C2-6E59829B04EA}"/>
    <cellStyle name="40% - Accent3 7 5" xfId="18488" xr:uid="{4181004D-C856-4141-B535-995D72300FAB}"/>
    <cellStyle name="40% - Accent3 8" xfId="1915" xr:uid="{00000000-0005-0000-0000-00009A050000}"/>
    <cellStyle name="40% - Accent3 8 2" xfId="4144" xr:uid="{00000000-0005-0000-0000-00009B050000}"/>
    <cellStyle name="40% - Accent3 8 2 2" xfId="8366" xr:uid="{00000000-0005-0000-0000-00009C050000}"/>
    <cellStyle name="40% - Accent3 8 2 2 2" xfId="16816" xr:uid="{8C3A94D5-BB88-4DD5-A4FB-1A117BE09229}"/>
    <cellStyle name="40% - Accent3 8 2 2 3" xfId="25263" xr:uid="{0304C89C-063F-4ED7-9EF9-C016D85D45EE}"/>
    <cellStyle name="40% - Accent3 8 2 3" xfId="12598" xr:uid="{93B05E1B-7403-49DC-99D5-53748AC78190}"/>
    <cellStyle name="40% - Accent3 8 2 4" xfId="21046" xr:uid="{E087F5C3-3A74-4D14-81C6-A29BCAB6D615}"/>
    <cellStyle name="40% - Accent3 8 3" xfId="6221" xr:uid="{00000000-0005-0000-0000-00009D050000}"/>
    <cellStyle name="40% - Accent3 8 3 2" xfId="14671" xr:uid="{6FD5175B-BACD-4767-A255-345DE6DBE156}"/>
    <cellStyle name="40% - Accent3 8 3 3" xfId="23118" xr:uid="{C608A74F-56EF-4C71-B056-00807E34B472}"/>
    <cellStyle name="40% - Accent3 8 4" xfId="10453" xr:uid="{A8CE445E-DA59-46B4-8C68-446855D636EE}"/>
    <cellStyle name="40% - Accent3 8 5" xfId="18901" xr:uid="{C68F1018-5184-4092-816B-8B9AEEF31E02}"/>
    <cellStyle name="40% - Accent3 9" xfId="2328" xr:uid="{00000000-0005-0000-0000-00009E050000}"/>
    <cellStyle name="40% - Accent3 9 2" xfId="6634" xr:uid="{00000000-0005-0000-0000-00009F050000}"/>
    <cellStyle name="40% - Accent3 9 2 2" xfId="15084" xr:uid="{BC9730B7-6BE3-4DC5-8AA1-464963DE0A33}"/>
    <cellStyle name="40% - Accent3 9 2 3" xfId="23531" xr:uid="{BBFB72D2-5307-4E7E-BFF8-5D9D99FED39F}"/>
    <cellStyle name="40% - Accent3 9 3" xfId="10866" xr:uid="{D9CC1AFB-562C-41F9-9172-1BAA7CE4A390}"/>
    <cellStyle name="40% - Accent3 9 4" xfId="19314" xr:uid="{89581EBA-1E09-4E50-924B-451163802973}"/>
    <cellStyle name="40% - Accent4" xfId="73" builtinId="43" customBuiltin="1"/>
    <cellStyle name="40% - Accent4 10" xfId="4576" xr:uid="{00000000-0005-0000-0000-0000A1050000}"/>
    <cellStyle name="40% - Accent4 10 2" xfId="13026" xr:uid="{A0A49D08-F474-48BE-BF6B-3DACFF09A90B}"/>
    <cellStyle name="40% - Accent4 10 3" xfId="21473" xr:uid="{9E4E2EF4-FED5-40C1-999B-8C7B1CD47293}"/>
    <cellStyle name="40% - Accent4 11" xfId="8808" xr:uid="{C56F108A-E3CC-40CA-8408-E765BB16BDFD}"/>
    <cellStyle name="40% - Accent4 12" xfId="17256" xr:uid="{4B50F15C-B94D-4A0D-B413-2BB992BA44D4}"/>
    <cellStyle name="40% - Accent4 2" xfId="74" xr:uid="{00000000-0005-0000-0000-0000A2050000}"/>
    <cellStyle name="40% - Accent4 2 10" xfId="8809" xr:uid="{105664B1-2BD9-4287-B281-0581856D3ED5}"/>
    <cellStyle name="40% - Accent4 2 11" xfId="17257" xr:uid="{59C7D498-7FCD-4C4C-BC8B-51C0994B0510}"/>
    <cellStyle name="40% - Accent4 2 2" xfId="75" xr:uid="{00000000-0005-0000-0000-0000A3050000}"/>
    <cellStyle name="40% - Accent4 2 2 10" xfId="17258" xr:uid="{25B264C2-C569-474C-814B-6F07DD9DBA44}"/>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2 2 2" xfId="15588" xr:uid="{BC8B1E90-9EE3-4957-8D70-F774BFDE382B}"/>
    <cellStyle name="40% - Accent4 2 2 2 2 2 2 3" xfId="24035" xr:uid="{62A6D480-E69B-4C18-9956-D362B6114CC1}"/>
    <cellStyle name="40% - Accent4 2 2 2 2 2 3" xfId="11370" xr:uid="{DB5176CB-74FA-4585-9F87-7C0886E9E7E0}"/>
    <cellStyle name="40% - Accent4 2 2 2 2 2 4" xfId="19818" xr:uid="{704C2F6B-45ED-4EC2-9F66-CE70D51F21A5}"/>
    <cellStyle name="40% - Accent4 2 2 2 2 3" xfId="4993" xr:uid="{00000000-0005-0000-0000-0000A8050000}"/>
    <cellStyle name="40% - Accent4 2 2 2 2 3 2" xfId="13443" xr:uid="{96A0843A-5D37-47CB-8EE4-50720249B599}"/>
    <cellStyle name="40% - Accent4 2 2 2 2 3 3" xfId="21890" xr:uid="{F08B5C1B-A3F5-4487-86E9-596B631E3084}"/>
    <cellStyle name="40% - Accent4 2 2 2 2 4" xfId="9225" xr:uid="{C9BC4D4A-BE5C-42BE-84B3-FA619284042E}"/>
    <cellStyle name="40% - Accent4 2 2 2 2 5" xfId="17673" xr:uid="{6E9D902A-CA5B-45A1-868D-C766FBAA2254}"/>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2 2 2" xfId="16001" xr:uid="{32FE676B-5065-47EE-9986-2E3DF4AA8264}"/>
    <cellStyle name="40% - Accent4 2 2 2 3 2 2 3" xfId="24448" xr:uid="{0B0D2204-686D-489B-B68D-6D9D416882FC}"/>
    <cellStyle name="40% - Accent4 2 2 2 3 2 3" xfId="11783" xr:uid="{1576EE8A-5B5E-468F-80E3-D73E49616B3F}"/>
    <cellStyle name="40% - Accent4 2 2 2 3 2 4" xfId="20231" xr:uid="{5D58D956-E647-4953-BF2C-1631721B6845}"/>
    <cellStyle name="40% - Accent4 2 2 2 3 3" xfId="5406" xr:uid="{00000000-0005-0000-0000-0000AC050000}"/>
    <cellStyle name="40% - Accent4 2 2 2 3 3 2" xfId="13856" xr:uid="{38D7D689-6E78-45FC-BEEF-33C559CA479E}"/>
    <cellStyle name="40% - Accent4 2 2 2 3 3 3" xfId="22303" xr:uid="{77890F2C-2DE6-462B-B17E-8E74DBA56F30}"/>
    <cellStyle name="40% - Accent4 2 2 2 3 4" xfId="9638" xr:uid="{0598B975-A9D8-4F80-AD03-F93142F312AB}"/>
    <cellStyle name="40% - Accent4 2 2 2 3 5" xfId="18086" xr:uid="{3011AD72-C33E-41F7-B0AD-8E6AFE111D42}"/>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2 2 2" xfId="16414" xr:uid="{6CFC1A98-67D6-4234-9879-C7F455E2B969}"/>
    <cellStyle name="40% - Accent4 2 2 2 4 2 2 3" xfId="24861" xr:uid="{8CB02020-DB2A-4E9C-9354-44F99D0FE3A4}"/>
    <cellStyle name="40% - Accent4 2 2 2 4 2 3" xfId="12196" xr:uid="{4DCC7028-6E06-4745-83DC-76A109E7BAE3}"/>
    <cellStyle name="40% - Accent4 2 2 2 4 2 4" xfId="20644" xr:uid="{285CD3FB-146C-40B2-9936-458076201FC6}"/>
    <cellStyle name="40% - Accent4 2 2 2 4 3" xfId="5819" xr:uid="{00000000-0005-0000-0000-0000B0050000}"/>
    <cellStyle name="40% - Accent4 2 2 2 4 3 2" xfId="14269" xr:uid="{96E8EC76-40AE-45AE-B758-C42233491B40}"/>
    <cellStyle name="40% - Accent4 2 2 2 4 3 3" xfId="22716" xr:uid="{6DC6CE17-9F15-4D06-9E3D-5340AA3E1347}"/>
    <cellStyle name="40% - Accent4 2 2 2 4 4" xfId="10051" xr:uid="{38F694F9-D328-4EAD-8D8A-A280E5779A45}"/>
    <cellStyle name="40% - Accent4 2 2 2 4 5" xfId="18499" xr:uid="{0F77B2BE-E312-4FC8-97E3-695427738EE7}"/>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2 2 2" xfId="16827" xr:uid="{74BA52F9-266F-4A50-A206-95A4E6E8022E}"/>
    <cellStyle name="40% - Accent4 2 2 2 5 2 2 3" xfId="25274" xr:uid="{98AFBFC0-F888-4B75-B4C5-61D1E077D315}"/>
    <cellStyle name="40% - Accent4 2 2 2 5 2 3" xfId="12609" xr:uid="{3D4D7771-76CB-4AF5-9F88-836C7E99FB07}"/>
    <cellStyle name="40% - Accent4 2 2 2 5 2 4" xfId="21057" xr:uid="{D7D8E7B6-6B52-426A-90C7-01B036C967EC}"/>
    <cellStyle name="40% - Accent4 2 2 2 5 3" xfId="6232" xr:uid="{00000000-0005-0000-0000-0000B4050000}"/>
    <cellStyle name="40% - Accent4 2 2 2 5 3 2" xfId="14682" xr:uid="{DC3AA570-99C6-4978-AB5C-BB7A71330478}"/>
    <cellStyle name="40% - Accent4 2 2 2 5 3 3" xfId="23129" xr:uid="{3FF4DA1B-1615-46BA-ACA7-B0B054C3C0E5}"/>
    <cellStyle name="40% - Accent4 2 2 2 5 4" xfId="10464" xr:uid="{B129EFAC-12EA-4A92-9F55-A82A292D8EC8}"/>
    <cellStyle name="40% - Accent4 2 2 2 5 5" xfId="18912" xr:uid="{4C889C14-C4D0-450A-AB58-A51852AA748F}"/>
    <cellStyle name="40% - Accent4 2 2 2 6" xfId="2339" xr:uid="{00000000-0005-0000-0000-0000B5050000}"/>
    <cellStyle name="40% - Accent4 2 2 2 6 2" xfId="6645" xr:uid="{00000000-0005-0000-0000-0000B6050000}"/>
    <cellStyle name="40% - Accent4 2 2 2 6 2 2" xfId="15095" xr:uid="{F79A4268-7D4A-41DD-8EA2-257CC2B37791}"/>
    <cellStyle name="40% - Accent4 2 2 2 6 2 3" xfId="23542" xr:uid="{990A2C1B-115F-4D21-A8E0-324FC1FB32BF}"/>
    <cellStyle name="40% - Accent4 2 2 2 6 3" xfId="10877" xr:uid="{097E7161-84DC-412C-A6E3-6F84C10340B7}"/>
    <cellStyle name="40% - Accent4 2 2 2 6 4" xfId="19325" xr:uid="{610D2101-9C09-470B-9D47-1A3EFD750543}"/>
    <cellStyle name="40% - Accent4 2 2 2 7" xfId="4579" xr:uid="{00000000-0005-0000-0000-0000B7050000}"/>
    <cellStyle name="40% - Accent4 2 2 2 7 2" xfId="13029" xr:uid="{A8D15A63-40D2-46CA-8CEE-EA9CCFDCD241}"/>
    <cellStyle name="40% - Accent4 2 2 2 7 3" xfId="21476" xr:uid="{C8D82F9F-40DB-42D6-A0C8-3DD30DFAFF02}"/>
    <cellStyle name="40% - Accent4 2 2 2 8" xfId="8811" xr:uid="{DB8D9F96-9437-4323-86FF-23847135D275}"/>
    <cellStyle name="40% - Accent4 2 2 2 9" xfId="17259" xr:uid="{BC6DCA9C-F07F-488E-852C-AFF87DE347D6}"/>
    <cellStyle name="40% - Accent4 2 2 3" xfId="644" xr:uid="{00000000-0005-0000-0000-0000B8050000}"/>
    <cellStyle name="40% - Accent4 2 2 3 2" xfId="2915" xr:uid="{00000000-0005-0000-0000-0000B9050000}"/>
    <cellStyle name="40% - Accent4 2 2 3 2 2" xfId="7137" xr:uid="{00000000-0005-0000-0000-0000BA050000}"/>
    <cellStyle name="40% - Accent4 2 2 3 2 2 2" xfId="15587" xr:uid="{C0335893-3A0D-470F-AD2C-EBBFB92F8604}"/>
    <cellStyle name="40% - Accent4 2 2 3 2 2 3" xfId="24034" xr:uid="{6A8558D1-DBF1-4DB0-B3CC-ADF1AB614134}"/>
    <cellStyle name="40% - Accent4 2 2 3 2 3" xfId="11369" xr:uid="{4CD3F43E-FB60-44F5-A414-8FC55D6D241D}"/>
    <cellStyle name="40% - Accent4 2 2 3 2 4" xfId="19817" xr:uid="{EBC3BF59-6E73-4E82-BFA8-4DB5C6FDE5EC}"/>
    <cellStyle name="40% - Accent4 2 2 3 3" xfId="4992" xr:uid="{00000000-0005-0000-0000-0000BB050000}"/>
    <cellStyle name="40% - Accent4 2 2 3 3 2" xfId="13442" xr:uid="{9E586843-A6F6-4201-BDAD-25F28B059B61}"/>
    <cellStyle name="40% - Accent4 2 2 3 3 3" xfId="21889" xr:uid="{9649FC5C-3F58-4449-AC45-8598D94BE03B}"/>
    <cellStyle name="40% - Accent4 2 2 3 4" xfId="9224" xr:uid="{DAE1BEF1-7C2F-4F28-918C-EBC6F697F209}"/>
    <cellStyle name="40% - Accent4 2 2 3 5" xfId="17672" xr:uid="{EFBA2FAA-D30E-4E75-826F-1B201175726A}"/>
    <cellStyle name="40% - Accent4 2 2 4" xfId="1097" xr:uid="{00000000-0005-0000-0000-0000BC050000}"/>
    <cellStyle name="40% - Accent4 2 2 4 2" xfId="3328" xr:uid="{00000000-0005-0000-0000-0000BD050000}"/>
    <cellStyle name="40% - Accent4 2 2 4 2 2" xfId="7550" xr:uid="{00000000-0005-0000-0000-0000BE050000}"/>
    <cellStyle name="40% - Accent4 2 2 4 2 2 2" xfId="16000" xr:uid="{A4E4F9FD-5B7F-44DA-A0FE-0C926A3572B3}"/>
    <cellStyle name="40% - Accent4 2 2 4 2 2 3" xfId="24447" xr:uid="{E621CB0F-303D-4823-AEFB-BBE00369A18C}"/>
    <cellStyle name="40% - Accent4 2 2 4 2 3" xfId="11782" xr:uid="{37648950-8466-4C18-BD18-60369A890213}"/>
    <cellStyle name="40% - Accent4 2 2 4 2 4" xfId="20230" xr:uid="{37E306DA-0E4E-4C11-99ED-9EEEE9BF5716}"/>
    <cellStyle name="40% - Accent4 2 2 4 3" xfId="5405" xr:uid="{00000000-0005-0000-0000-0000BF050000}"/>
    <cellStyle name="40% - Accent4 2 2 4 3 2" xfId="13855" xr:uid="{F23C6D02-BE66-4A4C-AA56-43727802928E}"/>
    <cellStyle name="40% - Accent4 2 2 4 3 3" xfId="22302" xr:uid="{27949263-39B7-4998-BD4C-E0957F435599}"/>
    <cellStyle name="40% - Accent4 2 2 4 4" xfId="9637" xr:uid="{8203B618-FDE8-4621-9397-A891BA2089C4}"/>
    <cellStyle name="40% - Accent4 2 2 4 5" xfId="18085" xr:uid="{D1E67182-D974-41FB-BBEC-299215EA4506}"/>
    <cellStyle name="40% - Accent4 2 2 5" xfId="1511" xr:uid="{00000000-0005-0000-0000-0000C0050000}"/>
    <cellStyle name="40% - Accent4 2 2 5 2" xfId="3741" xr:uid="{00000000-0005-0000-0000-0000C1050000}"/>
    <cellStyle name="40% - Accent4 2 2 5 2 2" xfId="7963" xr:uid="{00000000-0005-0000-0000-0000C2050000}"/>
    <cellStyle name="40% - Accent4 2 2 5 2 2 2" xfId="16413" xr:uid="{9D5F72CC-C0A6-4759-AEA2-EA24B537B5FE}"/>
    <cellStyle name="40% - Accent4 2 2 5 2 2 3" xfId="24860" xr:uid="{4284B305-78C1-4B9E-BED7-C98C9647B9DC}"/>
    <cellStyle name="40% - Accent4 2 2 5 2 3" xfId="12195" xr:uid="{FF008743-09E4-4FC9-BFD3-16F0ED591DD3}"/>
    <cellStyle name="40% - Accent4 2 2 5 2 4" xfId="20643" xr:uid="{9BF45C68-E03E-4727-85D3-6BE9467AA678}"/>
    <cellStyle name="40% - Accent4 2 2 5 3" xfId="5818" xr:uid="{00000000-0005-0000-0000-0000C3050000}"/>
    <cellStyle name="40% - Accent4 2 2 5 3 2" xfId="14268" xr:uid="{0E1C5551-04A8-4A16-B011-D2840E1AD4F4}"/>
    <cellStyle name="40% - Accent4 2 2 5 3 3" xfId="22715" xr:uid="{A0A7B413-9258-4E72-9075-EEF1D699E75E}"/>
    <cellStyle name="40% - Accent4 2 2 5 4" xfId="10050" xr:uid="{2A59D934-67A7-4E2B-A42B-0B1C2648BF05}"/>
    <cellStyle name="40% - Accent4 2 2 5 5" xfId="18498" xr:uid="{04B7F188-28F6-4B5E-B054-F09692ADA3BD}"/>
    <cellStyle name="40% - Accent4 2 2 6" xfId="1925" xr:uid="{00000000-0005-0000-0000-0000C4050000}"/>
    <cellStyle name="40% - Accent4 2 2 6 2" xfId="4154" xr:uid="{00000000-0005-0000-0000-0000C5050000}"/>
    <cellStyle name="40% - Accent4 2 2 6 2 2" xfId="8376" xr:uid="{00000000-0005-0000-0000-0000C6050000}"/>
    <cellStyle name="40% - Accent4 2 2 6 2 2 2" xfId="16826" xr:uid="{A934B3B8-59C5-40D2-B663-490183C84730}"/>
    <cellStyle name="40% - Accent4 2 2 6 2 2 3" xfId="25273" xr:uid="{58764F8B-8781-4C3E-965F-A30E663F4362}"/>
    <cellStyle name="40% - Accent4 2 2 6 2 3" xfId="12608" xr:uid="{2CDEC3AD-5737-45C3-92F2-8756477AB97A}"/>
    <cellStyle name="40% - Accent4 2 2 6 2 4" xfId="21056" xr:uid="{9E4A0E94-A7FA-4DC7-AF3A-B7AE70A57F8A}"/>
    <cellStyle name="40% - Accent4 2 2 6 3" xfId="6231" xr:uid="{00000000-0005-0000-0000-0000C7050000}"/>
    <cellStyle name="40% - Accent4 2 2 6 3 2" xfId="14681" xr:uid="{3B5D2D9D-5601-4FE2-A5A4-750EB5704C05}"/>
    <cellStyle name="40% - Accent4 2 2 6 3 3" xfId="23128" xr:uid="{68F89899-9A8B-4B88-B076-48E0F3FEE072}"/>
    <cellStyle name="40% - Accent4 2 2 6 4" xfId="10463" xr:uid="{0E69ECBD-1BF4-4EDC-AF60-23C1CBCD4581}"/>
    <cellStyle name="40% - Accent4 2 2 6 5" xfId="18911" xr:uid="{2363F22D-57CC-4EDE-A87A-284E7B9912E6}"/>
    <cellStyle name="40% - Accent4 2 2 7" xfId="2338" xr:uid="{00000000-0005-0000-0000-0000C8050000}"/>
    <cellStyle name="40% - Accent4 2 2 7 2" xfId="6644" xr:uid="{00000000-0005-0000-0000-0000C9050000}"/>
    <cellStyle name="40% - Accent4 2 2 7 2 2" xfId="15094" xr:uid="{4F7A84F3-46E1-4476-833F-0A28ECD49379}"/>
    <cellStyle name="40% - Accent4 2 2 7 2 3" xfId="23541" xr:uid="{26ED7636-745A-4B65-9CEE-64F30B20066E}"/>
    <cellStyle name="40% - Accent4 2 2 7 3" xfId="10876" xr:uid="{A3506B0B-1876-4FB2-A637-CED7B998009B}"/>
    <cellStyle name="40% - Accent4 2 2 7 4" xfId="19324" xr:uid="{625BD18C-F3F2-4EBB-906C-627B1021274E}"/>
    <cellStyle name="40% - Accent4 2 2 8" xfId="4578" xr:uid="{00000000-0005-0000-0000-0000CA050000}"/>
    <cellStyle name="40% - Accent4 2 2 8 2" xfId="13028" xr:uid="{40F67269-B6F0-4AA5-9804-E606A560BC68}"/>
    <cellStyle name="40% - Accent4 2 2 8 3" xfId="21475" xr:uid="{B180A1A4-4B0E-41DF-AFAA-B7A53EE64907}"/>
    <cellStyle name="40% - Accent4 2 2 9" xfId="8810" xr:uid="{73EBF55A-CF17-4558-860E-C84C564CFE0A}"/>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2 2 2" xfId="15589" xr:uid="{FF24C8C5-B9BD-4180-8D98-08C2A72DC355}"/>
    <cellStyle name="40% - Accent4 2 3 2 2 2 3" xfId="24036" xr:uid="{17BA9EF9-C9A0-4BB9-8A56-66CDA119E174}"/>
    <cellStyle name="40% - Accent4 2 3 2 2 3" xfId="11371" xr:uid="{8CF67462-A6F5-40E8-9A13-3ADD70924A65}"/>
    <cellStyle name="40% - Accent4 2 3 2 2 4" xfId="19819" xr:uid="{99CDA0AD-75C7-4BAD-A489-60AB4CE5A0CE}"/>
    <cellStyle name="40% - Accent4 2 3 2 3" xfId="4994" xr:uid="{00000000-0005-0000-0000-0000CF050000}"/>
    <cellStyle name="40% - Accent4 2 3 2 3 2" xfId="13444" xr:uid="{266A0741-5A79-43EA-8A2F-3BA4C633C3C5}"/>
    <cellStyle name="40% - Accent4 2 3 2 3 3" xfId="21891" xr:uid="{70A0AEF8-C9E4-490D-87C9-7335FCC65F53}"/>
    <cellStyle name="40% - Accent4 2 3 2 4" xfId="9226" xr:uid="{B7E04DC0-CD99-4706-874B-D1027121C034}"/>
    <cellStyle name="40% - Accent4 2 3 2 5" xfId="17674" xr:uid="{625537A7-A47E-4683-86E8-46D428DED328}"/>
    <cellStyle name="40% - Accent4 2 3 3" xfId="1099" xr:uid="{00000000-0005-0000-0000-0000D0050000}"/>
    <cellStyle name="40% - Accent4 2 3 3 2" xfId="3330" xr:uid="{00000000-0005-0000-0000-0000D1050000}"/>
    <cellStyle name="40% - Accent4 2 3 3 2 2" xfId="7552" xr:uid="{00000000-0005-0000-0000-0000D2050000}"/>
    <cellStyle name="40% - Accent4 2 3 3 2 2 2" xfId="16002" xr:uid="{2590CC76-A775-447A-8AB9-1BDE50E24158}"/>
    <cellStyle name="40% - Accent4 2 3 3 2 2 3" xfId="24449" xr:uid="{1EB2FF62-4983-4EC7-92D6-357E00085BC5}"/>
    <cellStyle name="40% - Accent4 2 3 3 2 3" xfId="11784" xr:uid="{57546277-7264-4D2A-AA9E-9C552EFF7EB1}"/>
    <cellStyle name="40% - Accent4 2 3 3 2 4" xfId="20232" xr:uid="{E62199E2-4FD6-453A-9BD5-3E04F97C5472}"/>
    <cellStyle name="40% - Accent4 2 3 3 3" xfId="5407" xr:uid="{00000000-0005-0000-0000-0000D3050000}"/>
    <cellStyle name="40% - Accent4 2 3 3 3 2" xfId="13857" xr:uid="{682E76B9-C637-48EA-9D29-66F0710D3B1D}"/>
    <cellStyle name="40% - Accent4 2 3 3 3 3" xfId="22304" xr:uid="{1F35BDAD-AE82-443D-8BBE-10E4DA4DA8C8}"/>
    <cellStyle name="40% - Accent4 2 3 3 4" xfId="9639" xr:uid="{0769A579-E4A7-4738-9057-366AB88B1BF9}"/>
    <cellStyle name="40% - Accent4 2 3 3 5" xfId="18087" xr:uid="{77FAE540-FEBF-4A96-87B6-5697BF7B6829}"/>
    <cellStyle name="40% - Accent4 2 3 4" xfId="1513" xr:uid="{00000000-0005-0000-0000-0000D4050000}"/>
    <cellStyle name="40% - Accent4 2 3 4 2" xfId="3743" xr:uid="{00000000-0005-0000-0000-0000D5050000}"/>
    <cellStyle name="40% - Accent4 2 3 4 2 2" xfId="7965" xr:uid="{00000000-0005-0000-0000-0000D6050000}"/>
    <cellStyle name="40% - Accent4 2 3 4 2 2 2" xfId="16415" xr:uid="{AD34166D-BD21-41A3-BC4A-29B4BD6AF99C}"/>
    <cellStyle name="40% - Accent4 2 3 4 2 2 3" xfId="24862" xr:uid="{DAFB9416-346B-424D-AA6D-0BE2D46E7D0D}"/>
    <cellStyle name="40% - Accent4 2 3 4 2 3" xfId="12197" xr:uid="{398AEB3A-1E63-41C9-B28A-322AB284F497}"/>
    <cellStyle name="40% - Accent4 2 3 4 2 4" xfId="20645" xr:uid="{A1DA0990-9A19-4B49-9318-FBDA8371B5C6}"/>
    <cellStyle name="40% - Accent4 2 3 4 3" xfId="5820" xr:uid="{00000000-0005-0000-0000-0000D7050000}"/>
    <cellStyle name="40% - Accent4 2 3 4 3 2" xfId="14270" xr:uid="{8FDC2131-2D66-4B46-955C-6714203E57CF}"/>
    <cellStyle name="40% - Accent4 2 3 4 3 3" xfId="22717" xr:uid="{12310E10-B98C-47E6-8A1C-EF53CD09FB85}"/>
    <cellStyle name="40% - Accent4 2 3 4 4" xfId="10052" xr:uid="{4EC02B76-34D2-4F92-8432-3C298B660CA1}"/>
    <cellStyle name="40% - Accent4 2 3 4 5" xfId="18500" xr:uid="{3CA2F192-DA62-4103-95CD-6825BE31471D}"/>
    <cellStyle name="40% - Accent4 2 3 5" xfId="1927" xr:uid="{00000000-0005-0000-0000-0000D8050000}"/>
    <cellStyle name="40% - Accent4 2 3 5 2" xfId="4156" xr:uid="{00000000-0005-0000-0000-0000D9050000}"/>
    <cellStyle name="40% - Accent4 2 3 5 2 2" xfId="8378" xr:uid="{00000000-0005-0000-0000-0000DA050000}"/>
    <cellStyle name="40% - Accent4 2 3 5 2 2 2" xfId="16828" xr:uid="{7B1C746C-D024-44F0-876D-BDF1F78FCB2E}"/>
    <cellStyle name="40% - Accent4 2 3 5 2 2 3" xfId="25275" xr:uid="{723EB4B5-F307-4144-B31E-25D6494BFBDF}"/>
    <cellStyle name="40% - Accent4 2 3 5 2 3" xfId="12610" xr:uid="{2D21F7FE-1D71-4C82-825F-303B7C0635FC}"/>
    <cellStyle name="40% - Accent4 2 3 5 2 4" xfId="21058" xr:uid="{E2F16C92-4C46-406B-A069-52EA4FF3CE35}"/>
    <cellStyle name="40% - Accent4 2 3 5 3" xfId="6233" xr:uid="{00000000-0005-0000-0000-0000DB050000}"/>
    <cellStyle name="40% - Accent4 2 3 5 3 2" xfId="14683" xr:uid="{A57A3C96-BAF0-4EDA-9CAE-EEB8165B80BC}"/>
    <cellStyle name="40% - Accent4 2 3 5 3 3" xfId="23130" xr:uid="{0ED4AE6A-BC05-40A6-8FF7-4261AEF52AF1}"/>
    <cellStyle name="40% - Accent4 2 3 5 4" xfId="10465" xr:uid="{78AAEEC5-1F12-4092-AAC9-6AB005837EEC}"/>
    <cellStyle name="40% - Accent4 2 3 5 5" xfId="18913" xr:uid="{AABF7420-FCCA-474D-8437-312D5735142E}"/>
    <cellStyle name="40% - Accent4 2 3 6" xfId="2340" xr:uid="{00000000-0005-0000-0000-0000DC050000}"/>
    <cellStyle name="40% - Accent4 2 3 6 2" xfId="6646" xr:uid="{00000000-0005-0000-0000-0000DD050000}"/>
    <cellStyle name="40% - Accent4 2 3 6 2 2" xfId="15096" xr:uid="{2752128E-0FF1-487A-9AE5-DED3463A781F}"/>
    <cellStyle name="40% - Accent4 2 3 6 2 3" xfId="23543" xr:uid="{3759EC40-3BDF-48C8-A2AC-F10021BA08A7}"/>
    <cellStyle name="40% - Accent4 2 3 6 3" xfId="10878" xr:uid="{20A73856-9D54-4F6F-9119-20564C832D59}"/>
    <cellStyle name="40% - Accent4 2 3 6 4" xfId="19326" xr:uid="{BCFDB4D2-8B10-49B1-965F-250A364C8F71}"/>
    <cellStyle name="40% - Accent4 2 3 7" xfId="4580" xr:uid="{00000000-0005-0000-0000-0000DE050000}"/>
    <cellStyle name="40% - Accent4 2 3 7 2" xfId="13030" xr:uid="{E6129E52-DD18-4384-BF99-AF796E155DF4}"/>
    <cellStyle name="40% - Accent4 2 3 7 3" xfId="21477" xr:uid="{15841938-8AF1-4226-B710-31CB49146D4C}"/>
    <cellStyle name="40% - Accent4 2 3 8" xfId="8812" xr:uid="{CAFF0899-A033-4427-A0BB-86A7B37A545E}"/>
    <cellStyle name="40% - Accent4 2 3 9" xfId="17260" xr:uid="{D60454E2-4E47-4E4C-B774-D97006EE54B1}"/>
    <cellStyle name="40% - Accent4 2 4" xfId="643" xr:uid="{00000000-0005-0000-0000-0000DF050000}"/>
    <cellStyle name="40% - Accent4 2 4 2" xfId="2914" xr:uid="{00000000-0005-0000-0000-0000E0050000}"/>
    <cellStyle name="40% - Accent4 2 4 2 2" xfId="7136" xr:uid="{00000000-0005-0000-0000-0000E1050000}"/>
    <cellStyle name="40% - Accent4 2 4 2 2 2" xfId="15586" xr:uid="{1ACF1921-B7B5-4B2D-BE6A-43E21EEB24A1}"/>
    <cellStyle name="40% - Accent4 2 4 2 2 3" xfId="24033" xr:uid="{64A94E9D-1CFF-44F0-AC7C-1D91E3DA8F70}"/>
    <cellStyle name="40% - Accent4 2 4 2 3" xfId="11368" xr:uid="{5EE51FF1-C262-4929-B845-F7F9FDB4F307}"/>
    <cellStyle name="40% - Accent4 2 4 2 4" xfId="19816" xr:uid="{7D9B1157-937F-4A2D-AA92-5207D9C8BFDE}"/>
    <cellStyle name="40% - Accent4 2 4 3" xfId="4991" xr:uid="{00000000-0005-0000-0000-0000E2050000}"/>
    <cellStyle name="40% - Accent4 2 4 3 2" xfId="13441" xr:uid="{50C14057-2A3D-4348-8462-660BFC151002}"/>
    <cellStyle name="40% - Accent4 2 4 3 3" xfId="21888" xr:uid="{50786DC7-FAFD-450E-BCB8-1D422347E70F}"/>
    <cellStyle name="40% - Accent4 2 4 4" xfId="9223" xr:uid="{48F24BB8-4BDE-4A7C-9ADD-9EDC6553D42C}"/>
    <cellStyle name="40% - Accent4 2 4 5" xfId="17671" xr:uid="{BD59BEED-53EA-425C-8E94-06966FA5740A}"/>
    <cellStyle name="40% - Accent4 2 5" xfId="1096" xr:uid="{00000000-0005-0000-0000-0000E3050000}"/>
    <cellStyle name="40% - Accent4 2 5 2" xfId="3327" xr:uid="{00000000-0005-0000-0000-0000E4050000}"/>
    <cellStyle name="40% - Accent4 2 5 2 2" xfId="7549" xr:uid="{00000000-0005-0000-0000-0000E5050000}"/>
    <cellStyle name="40% - Accent4 2 5 2 2 2" xfId="15999" xr:uid="{5C2CF66D-AED4-4332-BDAD-932FB2E1F3FE}"/>
    <cellStyle name="40% - Accent4 2 5 2 2 3" xfId="24446" xr:uid="{91313DD0-7F53-463C-A2E7-0B3271F654DD}"/>
    <cellStyle name="40% - Accent4 2 5 2 3" xfId="11781" xr:uid="{984D8CBC-D46D-419C-9047-A0FD03DB31C4}"/>
    <cellStyle name="40% - Accent4 2 5 2 4" xfId="20229" xr:uid="{98CD2834-E6DE-45A7-838B-1A60725E3E34}"/>
    <cellStyle name="40% - Accent4 2 5 3" xfId="5404" xr:uid="{00000000-0005-0000-0000-0000E6050000}"/>
    <cellStyle name="40% - Accent4 2 5 3 2" xfId="13854" xr:uid="{83B4DEF7-BF7F-43A4-861C-93647BEE2919}"/>
    <cellStyle name="40% - Accent4 2 5 3 3" xfId="22301" xr:uid="{07D035E9-E30A-485F-8745-E91229647A67}"/>
    <cellStyle name="40% - Accent4 2 5 4" xfId="9636" xr:uid="{C541DCED-E483-4DDE-A861-24CC6E9CCFA2}"/>
    <cellStyle name="40% - Accent4 2 5 5" xfId="18084" xr:uid="{C190BA50-3113-4727-8095-FF1134892F13}"/>
    <cellStyle name="40% - Accent4 2 6" xfId="1510" xr:uid="{00000000-0005-0000-0000-0000E7050000}"/>
    <cellStyle name="40% - Accent4 2 6 2" xfId="3740" xr:uid="{00000000-0005-0000-0000-0000E8050000}"/>
    <cellStyle name="40% - Accent4 2 6 2 2" xfId="7962" xr:uid="{00000000-0005-0000-0000-0000E9050000}"/>
    <cellStyle name="40% - Accent4 2 6 2 2 2" xfId="16412" xr:uid="{CE519494-B04C-4216-B4F4-2A71C5EFE1FD}"/>
    <cellStyle name="40% - Accent4 2 6 2 2 3" xfId="24859" xr:uid="{7C87D962-DCB1-4FDB-8AC6-200EF4870B55}"/>
    <cellStyle name="40% - Accent4 2 6 2 3" xfId="12194" xr:uid="{D0ECD146-B8C7-4A3F-BEA6-4FCB51AEC67E}"/>
    <cellStyle name="40% - Accent4 2 6 2 4" xfId="20642" xr:uid="{04291614-FB25-4ADB-A1BF-10FEC1395249}"/>
    <cellStyle name="40% - Accent4 2 6 3" xfId="5817" xr:uid="{00000000-0005-0000-0000-0000EA050000}"/>
    <cellStyle name="40% - Accent4 2 6 3 2" xfId="14267" xr:uid="{2145695A-4D2F-40F1-98D8-C8C7A09DADDC}"/>
    <cellStyle name="40% - Accent4 2 6 3 3" xfId="22714" xr:uid="{830D2BFB-CE52-4644-A654-C04A94BCD59A}"/>
    <cellStyle name="40% - Accent4 2 6 4" xfId="10049" xr:uid="{74A09480-40A4-4D32-B02A-B4FCB2F49FC8}"/>
    <cellStyle name="40% - Accent4 2 6 5" xfId="18497" xr:uid="{A13E90E6-69F4-4B1B-AB87-DFAE963C8903}"/>
    <cellStyle name="40% - Accent4 2 7" xfId="1924" xr:uid="{00000000-0005-0000-0000-0000EB050000}"/>
    <cellStyle name="40% - Accent4 2 7 2" xfId="4153" xr:uid="{00000000-0005-0000-0000-0000EC050000}"/>
    <cellStyle name="40% - Accent4 2 7 2 2" xfId="8375" xr:uid="{00000000-0005-0000-0000-0000ED050000}"/>
    <cellStyle name="40% - Accent4 2 7 2 2 2" xfId="16825" xr:uid="{8FB69D1B-E74A-4126-93D6-408FF8631BF4}"/>
    <cellStyle name="40% - Accent4 2 7 2 2 3" xfId="25272" xr:uid="{D29483FF-332A-4FC8-BB0F-B61FD09934EF}"/>
    <cellStyle name="40% - Accent4 2 7 2 3" xfId="12607" xr:uid="{5A1F8FB7-A859-41EC-9ED3-10386A00F093}"/>
    <cellStyle name="40% - Accent4 2 7 2 4" xfId="21055" xr:uid="{47DDBC83-E1DD-4DE5-BD6B-01ACB3EEBE59}"/>
    <cellStyle name="40% - Accent4 2 7 3" xfId="6230" xr:uid="{00000000-0005-0000-0000-0000EE050000}"/>
    <cellStyle name="40% - Accent4 2 7 3 2" xfId="14680" xr:uid="{0A7AC19F-D0A3-4385-862C-374C1E27B0B9}"/>
    <cellStyle name="40% - Accent4 2 7 3 3" xfId="23127" xr:uid="{A6535AD1-EBD0-4DCA-BA93-D7DF86987D43}"/>
    <cellStyle name="40% - Accent4 2 7 4" xfId="10462" xr:uid="{3CC248C8-F9EC-4884-B6B0-0CFF5D697A99}"/>
    <cellStyle name="40% - Accent4 2 7 5" xfId="18910" xr:uid="{29CCEB45-6CFA-49D9-B1FE-B15E5C29B803}"/>
    <cellStyle name="40% - Accent4 2 8" xfId="2337" xr:uid="{00000000-0005-0000-0000-0000EF050000}"/>
    <cellStyle name="40% - Accent4 2 8 2" xfId="6643" xr:uid="{00000000-0005-0000-0000-0000F0050000}"/>
    <cellStyle name="40% - Accent4 2 8 2 2" xfId="15093" xr:uid="{F36E7832-7181-4D6C-839C-7F2F3E681C4D}"/>
    <cellStyle name="40% - Accent4 2 8 2 3" xfId="23540" xr:uid="{2830181C-D788-49D0-944C-E8B391705BA6}"/>
    <cellStyle name="40% - Accent4 2 8 3" xfId="10875" xr:uid="{96F537B4-10BD-4253-97E1-096CB711C729}"/>
    <cellStyle name="40% - Accent4 2 8 4" xfId="19323" xr:uid="{1329B365-3CA5-4E9B-B37C-F4503A4A0B9C}"/>
    <cellStyle name="40% - Accent4 2 9" xfId="4577" xr:uid="{00000000-0005-0000-0000-0000F1050000}"/>
    <cellStyle name="40% - Accent4 2 9 2" xfId="13027" xr:uid="{47E2C639-C494-45E3-B963-B12026C48CCF}"/>
    <cellStyle name="40% - Accent4 2 9 3" xfId="21474" xr:uid="{3724EA20-2D65-4242-8E16-65BF2017C5DC}"/>
    <cellStyle name="40% - Accent4 3" xfId="78" xr:uid="{00000000-0005-0000-0000-0000F2050000}"/>
    <cellStyle name="40% - Accent4 3 10" xfId="17261" xr:uid="{C5F94D7A-5792-414E-94F2-BDADD493CD4C}"/>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2 2 2" xfId="15591" xr:uid="{EC88811B-BA0D-4E97-910B-5E3365B0D555}"/>
    <cellStyle name="40% - Accent4 3 2 2 2 2 3" xfId="24038" xr:uid="{112AAD13-0A2C-40E7-BB62-F92A19C730C7}"/>
    <cellStyle name="40% - Accent4 3 2 2 2 3" xfId="11373" xr:uid="{3C96CC75-646D-467F-8047-B6D7FAC40A39}"/>
    <cellStyle name="40% - Accent4 3 2 2 2 4" xfId="19821" xr:uid="{ED860D0F-8028-4EF0-9508-07B78F9A829A}"/>
    <cellStyle name="40% - Accent4 3 2 2 3" xfId="4996" xr:uid="{00000000-0005-0000-0000-0000F7050000}"/>
    <cellStyle name="40% - Accent4 3 2 2 3 2" xfId="13446" xr:uid="{0F322A55-0BCF-4167-8433-27F90DBEB0CF}"/>
    <cellStyle name="40% - Accent4 3 2 2 3 3" xfId="21893" xr:uid="{3A92104D-496F-4A8A-9544-C140F69964CD}"/>
    <cellStyle name="40% - Accent4 3 2 2 4" xfId="9228" xr:uid="{1F8B9A76-188D-4FF5-B221-756B43EA340D}"/>
    <cellStyle name="40% - Accent4 3 2 2 5" xfId="17676" xr:uid="{E6FFE360-18FC-4403-96B6-2CB7F0627217}"/>
    <cellStyle name="40% - Accent4 3 2 3" xfId="1101" xr:uid="{00000000-0005-0000-0000-0000F8050000}"/>
    <cellStyle name="40% - Accent4 3 2 3 2" xfId="3332" xr:uid="{00000000-0005-0000-0000-0000F9050000}"/>
    <cellStyle name="40% - Accent4 3 2 3 2 2" xfId="7554" xr:uid="{00000000-0005-0000-0000-0000FA050000}"/>
    <cellStyle name="40% - Accent4 3 2 3 2 2 2" xfId="16004" xr:uid="{EF775045-77AD-438C-91EE-82396C5B4166}"/>
    <cellStyle name="40% - Accent4 3 2 3 2 2 3" xfId="24451" xr:uid="{713667A9-0F07-49B2-B147-DE89AB4DCC91}"/>
    <cellStyle name="40% - Accent4 3 2 3 2 3" xfId="11786" xr:uid="{75A3802F-226A-48A5-AA19-52E0F6C6C37D}"/>
    <cellStyle name="40% - Accent4 3 2 3 2 4" xfId="20234" xr:uid="{8F3516A2-35D0-49C5-93CE-62996DE191C2}"/>
    <cellStyle name="40% - Accent4 3 2 3 3" xfId="5409" xr:uid="{00000000-0005-0000-0000-0000FB050000}"/>
    <cellStyle name="40% - Accent4 3 2 3 3 2" xfId="13859" xr:uid="{E22818F8-236C-4559-8303-F9A8CA90DC08}"/>
    <cellStyle name="40% - Accent4 3 2 3 3 3" xfId="22306" xr:uid="{A671EDD9-61FF-4059-9634-8942795B93C2}"/>
    <cellStyle name="40% - Accent4 3 2 3 4" xfId="9641" xr:uid="{C747E15C-766E-43DC-B43F-182C6A55B03F}"/>
    <cellStyle name="40% - Accent4 3 2 3 5" xfId="18089" xr:uid="{E03F74BF-1236-459A-B423-6FAB819A9D6C}"/>
    <cellStyle name="40% - Accent4 3 2 4" xfId="1515" xr:uid="{00000000-0005-0000-0000-0000FC050000}"/>
    <cellStyle name="40% - Accent4 3 2 4 2" xfId="3745" xr:uid="{00000000-0005-0000-0000-0000FD050000}"/>
    <cellStyle name="40% - Accent4 3 2 4 2 2" xfId="7967" xr:uid="{00000000-0005-0000-0000-0000FE050000}"/>
    <cellStyle name="40% - Accent4 3 2 4 2 2 2" xfId="16417" xr:uid="{B84C5191-AF6C-4FDF-B144-D6E4724A3D4D}"/>
    <cellStyle name="40% - Accent4 3 2 4 2 2 3" xfId="24864" xr:uid="{8A495607-F18C-4E0F-B791-4462AA775774}"/>
    <cellStyle name="40% - Accent4 3 2 4 2 3" xfId="12199" xr:uid="{9F0BD86C-A3EF-4132-87D2-F7CC1F6E1890}"/>
    <cellStyle name="40% - Accent4 3 2 4 2 4" xfId="20647" xr:uid="{ABDF7F09-864B-4D5E-A321-B13AAD3EF05F}"/>
    <cellStyle name="40% - Accent4 3 2 4 3" xfId="5822" xr:uid="{00000000-0005-0000-0000-0000FF050000}"/>
    <cellStyle name="40% - Accent4 3 2 4 3 2" xfId="14272" xr:uid="{592DDC3B-464B-41B7-8091-A2FA02190D91}"/>
    <cellStyle name="40% - Accent4 3 2 4 3 3" xfId="22719" xr:uid="{E94E6DD7-7C92-4F6B-BF9B-06F47F8B4845}"/>
    <cellStyle name="40% - Accent4 3 2 4 4" xfId="10054" xr:uid="{D1088892-F193-41B6-B46C-BCFC0E3ADFB9}"/>
    <cellStyle name="40% - Accent4 3 2 4 5" xfId="18502" xr:uid="{9DA0C701-2A38-45A8-8991-E35F19F28AF5}"/>
    <cellStyle name="40% - Accent4 3 2 5" xfId="1929" xr:uid="{00000000-0005-0000-0000-000000060000}"/>
    <cellStyle name="40% - Accent4 3 2 5 2" xfId="4158" xr:uid="{00000000-0005-0000-0000-000001060000}"/>
    <cellStyle name="40% - Accent4 3 2 5 2 2" xfId="8380" xr:uid="{00000000-0005-0000-0000-000002060000}"/>
    <cellStyle name="40% - Accent4 3 2 5 2 2 2" xfId="16830" xr:uid="{7C3E11D2-59ED-4FE9-8EFA-35295CAD9CBE}"/>
    <cellStyle name="40% - Accent4 3 2 5 2 2 3" xfId="25277" xr:uid="{76AF8024-A31A-4AAC-A9CD-873AC33C5A77}"/>
    <cellStyle name="40% - Accent4 3 2 5 2 3" xfId="12612" xr:uid="{23F3FC64-DDEA-4E4B-9F23-66475412E8C3}"/>
    <cellStyle name="40% - Accent4 3 2 5 2 4" xfId="21060" xr:uid="{6D11E302-B8A5-4CC5-A4A4-AA1D271BAAED}"/>
    <cellStyle name="40% - Accent4 3 2 5 3" xfId="6235" xr:uid="{00000000-0005-0000-0000-000003060000}"/>
    <cellStyle name="40% - Accent4 3 2 5 3 2" xfId="14685" xr:uid="{C6B80B92-4EE8-4C85-9A30-98D9C37BB23F}"/>
    <cellStyle name="40% - Accent4 3 2 5 3 3" xfId="23132" xr:uid="{0EA180D1-98D8-4F03-9DA1-098A19B5679F}"/>
    <cellStyle name="40% - Accent4 3 2 5 4" xfId="10467" xr:uid="{2CCF289E-9C30-4F77-8436-C9A5A954A494}"/>
    <cellStyle name="40% - Accent4 3 2 5 5" xfId="18915" xr:uid="{74C451EC-34E9-4E51-B9E5-B298116896C3}"/>
    <cellStyle name="40% - Accent4 3 2 6" xfId="2342" xr:uid="{00000000-0005-0000-0000-000004060000}"/>
    <cellStyle name="40% - Accent4 3 2 6 2" xfId="6648" xr:uid="{00000000-0005-0000-0000-000005060000}"/>
    <cellStyle name="40% - Accent4 3 2 6 2 2" xfId="15098" xr:uid="{A6C4D25E-CF16-40A3-A425-A753688CEDBD}"/>
    <cellStyle name="40% - Accent4 3 2 6 2 3" xfId="23545" xr:uid="{A48726B9-7ECA-4D2E-9CB5-E7B36BF7F2EE}"/>
    <cellStyle name="40% - Accent4 3 2 6 3" xfId="10880" xr:uid="{EE7F4633-464D-4C44-86DB-411A116CE0A5}"/>
    <cellStyle name="40% - Accent4 3 2 6 4" xfId="19328" xr:uid="{EAD20A69-BAF6-461B-B99D-AA7053B609C0}"/>
    <cellStyle name="40% - Accent4 3 2 7" xfId="4582" xr:uid="{00000000-0005-0000-0000-000006060000}"/>
    <cellStyle name="40% - Accent4 3 2 7 2" xfId="13032" xr:uid="{15D4E44F-4F16-483C-8254-79B3A49E0E74}"/>
    <cellStyle name="40% - Accent4 3 2 7 3" xfId="21479" xr:uid="{54091144-4168-4DD5-B02E-CBC3A0C21F10}"/>
    <cellStyle name="40% - Accent4 3 2 8" xfId="8814" xr:uid="{6F269C71-186D-4926-AEDA-10F212DD0765}"/>
    <cellStyle name="40% - Accent4 3 2 9" xfId="17262" xr:uid="{E0AFCFC3-62E0-44DA-9AA4-8931871E6178}"/>
    <cellStyle name="40% - Accent4 3 3" xfId="647" xr:uid="{00000000-0005-0000-0000-000007060000}"/>
    <cellStyle name="40% - Accent4 3 3 2" xfId="2918" xr:uid="{00000000-0005-0000-0000-000008060000}"/>
    <cellStyle name="40% - Accent4 3 3 2 2" xfId="7140" xr:uid="{00000000-0005-0000-0000-000009060000}"/>
    <cellStyle name="40% - Accent4 3 3 2 2 2" xfId="15590" xr:uid="{BADDE0A1-9E9C-4515-B6D7-12079EB87C00}"/>
    <cellStyle name="40% - Accent4 3 3 2 2 3" xfId="24037" xr:uid="{F0BD015E-621D-4714-ABD4-73DDB32B8AF6}"/>
    <cellStyle name="40% - Accent4 3 3 2 3" xfId="11372" xr:uid="{9A6F5087-A6A5-4E5D-91D2-E03A6F15FF36}"/>
    <cellStyle name="40% - Accent4 3 3 2 4" xfId="19820" xr:uid="{E551BEAB-BFAC-4D95-A5F4-0C50A7B82C54}"/>
    <cellStyle name="40% - Accent4 3 3 3" xfId="4995" xr:uid="{00000000-0005-0000-0000-00000A060000}"/>
    <cellStyle name="40% - Accent4 3 3 3 2" xfId="13445" xr:uid="{5020FA84-68BA-4568-B8DA-13076D304EDB}"/>
    <cellStyle name="40% - Accent4 3 3 3 3" xfId="21892" xr:uid="{1239BB05-57C2-4857-BD44-A0C63C209E3C}"/>
    <cellStyle name="40% - Accent4 3 3 4" xfId="9227" xr:uid="{85DAD7B5-6977-45D2-A2F4-DBCBF8D8FC5C}"/>
    <cellStyle name="40% - Accent4 3 3 5" xfId="17675" xr:uid="{EF397534-F179-4BFC-983D-8CD9EF182C80}"/>
    <cellStyle name="40% - Accent4 3 4" xfId="1100" xr:uid="{00000000-0005-0000-0000-00000B060000}"/>
    <cellStyle name="40% - Accent4 3 4 2" xfId="3331" xr:uid="{00000000-0005-0000-0000-00000C060000}"/>
    <cellStyle name="40% - Accent4 3 4 2 2" xfId="7553" xr:uid="{00000000-0005-0000-0000-00000D060000}"/>
    <cellStyle name="40% - Accent4 3 4 2 2 2" xfId="16003" xr:uid="{7D6D0E2A-1EB9-45D4-B5B2-DB4C8524B24D}"/>
    <cellStyle name="40% - Accent4 3 4 2 2 3" xfId="24450" xr:uid="{1AF83B12-584C-4ED7-98D0-9C132DA20BBE}"/>
    <cellStyle name="40% - Accent4 3 4 2 3" xfId="11785" xr:uid="{89ECFE67-F7E6-4545-892D-1483BA4129BC}"/>
    <cellStyle name="40% - Accent4 3 4 2 4" xfId="20233" xr:uid="{78FC5C57-2D03-4EA8-B948-34A34A623013}"/>
    <cellStyle name="40% - Accent4 3 4 3" xfId="5408" xr:uid="{00000000-0005-0000-0000-00000E060000}"/>
    <cellStyle name="40% - Accent4 3 4 3 2" xfId="13858" xr:uid="{2D25D65C-7C31-4929-A133-BE78C74BA68E}"/>
    <cellStyle name="40% - Accent4 3 4 3 3" xfId="22305" xr:uid="{8A98233D-04AB-4604-BE95-037AAB40A17D}"/>
    <cellStyle name="40% - Accent4 3 4 4" xfId="9640" xr:uid="{F65B6885-E3F1-4EF1-A250-1E53CE1B6CD9}"/>
    <cellStyle name="40% - Accent4 3 4 5" xfId="18088" xr:uid="{53337F20-0B7A-44A4-BD37-3AABECBB7608}"/>
    <cellStyle name="40% - Accent4 3 5" xfId="1514" xr:uid="{00000000-0005-0000-0000-00000F060000}"/>
    <cellStyle name="40% - Accent4 3 5 2" xfId="3744" xr:uid="{00000000-0005-0000-0000-000010060000}"/>
    <cellStyle name="40% - Accent4 3 5 2 2" xfId="7966" xr:uid="{00000000-0005-0000-0000-000011060000}"/>
    <cellStyle name="40% - Accent4 3 5 2 2 2" xfId="16416" xr:uid="{8C182563-8EAB-4A2D-A2FF-5E75B1B65AD4}"/>
    <cellStyle name="40% - Accent4 3 5 2 2 3" xfId="24863" xr:uid="{98441CB8-0B35-46A9-A742-1CB26164D34A}"/>
    <cellStyle name="40% - Accent4 3 5 2 3" xfId="12198" xr:uid="{4EFB8D35-A759-4132-9BA6-E3817302CA56}"/>
    <cellStyle name="40% - Accent4 3 5 2 4" xfId="20646" xr:uid="{3DE75021-B397-4FC0-A86E-4B8378C6459F}"/>
    <cellStyle name="40% - Accent4 3 5 3" xfId="5821" xr:uid="{00000000-0005-0000-0000-000012060000}"/>
    <cellStyle name="40% - Accent4 3 5 3 2" xfId="14271" xr:uid="{64C41F18-633A-46CE-86AB-87186AD15A4D}"/>
    <cellStyle name="40% - Accent4 3 5 3 3" xfId="22718" xr:uid="{12405813-BA21-47AA-B28E-65C4FAE7520B}"/>
    <cellStyle name="40% - Accent4 3 5 4" xfId="10053" xr:uid="{26704D62-7989-451E-B724-D84DFAA12013}"/>
    <cellStyle name="40% - Accent4 3 5 5" xfId="18501" xr:uid="{8069192B-50DB-4043-ADB2-28DDAD880AF5}"/>
    <cellStyle name="40% - Accent4 3 6" xfId="1928" xr:uid="{00000000-0005-0000-0000-000013060000}"/>
    <cellStyle name="40% - Accent4 3 6 2" xfId="4157" xr:uid="{00000000-0005-0000-0000-000014060000}"/>
    <cellStyle name="40% - Accent4 3 6 2 2" xfId="8379" xr:uid="{00000000-0005-0000-0000-000015060000}"/>
    <cellStyle name="40% - Accent4 3 6 2 2 2" xfId="16829" xr:uid="{32600219-150F-46F1-A150-4840EC610EEB}"/>
    <cellStyle name="40% - Accent4 3 6 2 2 3" xfId="25276" xr:uid="{89A6EBC1-0B1C-47D7-94CB-6DAAA81E28B9}"/>
    <cellStyle name="40% - Accent4 3 6 2 3" xfId="12611" xr:uid="{7A77FE79-2D8B-43F2-9FAE-456B22C0332D}"/>
    <cellStyle name="40% - Accent4 3 6 2 4" xfId="21059" xr:uid="{D6247ECF-E9C8-4D84-BADD-6062D887AF02}"/>
    <cellStyle name="40% - Accent4 3 6 3" xfId="6234" xr:uid="{00000000-0005-0000-0000-000016060000}"/>
    <cellStyle name="40% - Accent4 3 6 3 2" xfId="14684" xr:uid="{5D6B5374-0C9D-4176-9959-812C0097D008}"/>
    <cellStyle name="40% - Accent4 3 6 3 3" xfId="23131" xr:uid="{71CE7D52-50D7-4006-BCB6-71058C8064A4}"/>
    <cellStyle name="40% - Accent4 3 6 4" xfId="10466" xr:uid="{D08C6842-0B3A-482E-A2C1-147F4B668647}"/>
    <cellStyle name="40% - Accent4 3 6 5" xfId="18914" xr:uid="{0E5A9481-0A98-418C-AD14-F314CB5F16AF}"/>
    <cellStyle name="40% - Accent4 3 7" xfId="2341" xr:uid="{00000000-0005-0000-0000-000017060000}"/>
    <cellStyle name="40% - Accent4 3 7 2" xfId="6647" xr:uid="{00000000-0005-0000-0000-000018060000}"/>
    <cellStyle name="40% - Accent4 3 7 2 2" xfId="15097" xr:uid="{963855AE-CC10-43C8-9A1E-889268D65C0D}"/>
    <cellStyle name="40% - Accent4 3 7 2 3" xfId="23544" xr:uid="{185A373D-CC4E-48E8-9F8C-82A069085F32}"/>
    <cellStyle name="40% - Accent4 3 7 3" xfId="10879" xr:uid="{0D32714D-6652-485A-8FCE-FB42D3D2B28E}"/>
    <cellStyle name="40% - Accent4 3 7 4" xfId="19327" xr:uid="{CC0948BF-13BD-4A02-83DF-95B62383344F}"/>
    <cellStyle name="40% - Accent4 3 8" xfId="4581" xr:uid="{00000000-0005-0000-0000-000019060000}"/>
    <cellStyle name="40% - Accent4 3 8 2" xfId="13031" xr:uid="{88AC00D0-2F1F-40A6-853F-31FDEF78067F}"/>
    <cellStyle name="40% - Accent4 3 8 3" xfId="21478" xr:uid="{312A6D43-D3FF-4A3A-8D19-47B648936C33}"/>
    <cellStyle name="40% - Accent4 3 9" xfId="8813" xr:uid="{C629B5A6-6DA4-49C9-921C-A07B38764FD5}"/>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2 2 2" xfId="15592" xr:uid="{CFCF321F-4BAD-4CD7-926A-49A1F9E1338A}"/>
    <cellStyle name="40% - Accent4 4 2 2 2 3" xfId="24039" xr:uid="{F09E8824-2BF6-4A58-928D-EFEA067A1F61}"/>
    <cellStyle name="40% - Accent4 4 2 2 3" xfId="11374" xr:uid="{46466051-D70D-4D11-95EA-27357566B223}"/>
    <cellStyle name="40% - Accent4 4 2 2 4" xfId="19822" xr:uid="{BE57E51A-DFA4-4D2F-BBB8-C8C9B6B0CE35}"/>
    <cellStyle name="40% - Accent4 4 2 3" xfId="4997" xr:uid="{00000000-0005-0000-0000-00001E060000}"/>
    <cellStyle name="40% - Accent4 4 2 3 2" xfId="13447" xr:uid="{F4053236-851E-4EE4-B715-5685916E4AB8}"/>
    <cellStyle name="40% - Accent4 4 2 3 3" xfId="21894" xr:uid="{C37CDE58-6668-4270-9529-F7E3B8985073}"/>
    <cellStyle name="40% - Accent4 4 2 4" xfId="9229" xr:uid="{D6900545-AD82-4D36-8253-5C897CB86845}"/>
    <cellStyle name="40% - Accent4 4 2 5" xfId="17677" xr:uid="{C7B1548C-9FE0-41F6-8179-D6ABA2C260B3}"/>
    <cellStyle name="40% - Accent4 4 3" xfId="1102" xr:uid="{00000000-0005-0000-0000-00001F060000}"/>
    <cellStyle name="40% - Accent4 4 3 2" xfId="3333" xr:uid="{00000000-0005-0000-0000-000020060000}"/>
    <cellStyle name="40% - Accent4 4 3 2 2" xfId="7555" xr:uid="{00000000-0005-0000-0000-000021060000}"/>
    <cellStyle name="40% - Accent4 4 3 2 2 2" xfId="16005" xr:uid="{FB6CD3FA-B6B6-40D5-9F95-8BBC7D2C1F09}"/>
    <cellStyle name="40% - Accent4 4 3 2 2 3" xfId="24452" xr:uid="{256502B6-7190-495D-A88C-4BEC5C142C8C}"/>
    <cellStyle name="40% - Accent4 4 3 2 3" xfId="11787" xr:uid="{9CB7CE80-CBBA-4F04-A7CB-FF5DCF2D63A4}"/>
    <cellStyle name="40% - Accent4 4 3 2 4" xfId="20235" xr:uid="{695D69AE-772B-46F5-8952-817704BFE3B3}"/>
    <cellStyle name="40% - Accent4 4 3 3" xfId="5410" xr:uid="{00000000-0005-0000-0000-000022060000}"/>
    <cellStyle name="40% - Accent4 4 3 3 2" xfId="13860" xr:uid="{1500451C-3F2A-4FE2-A5FA-5F78B265B4F6}"/>
    <cellStyle name="40% - Accent4 4 3 3 3" xfId="22307" xr:uid="{C2F1CB0A-9627-4C08-B1C6-55EB92130855}"/>
    <cellStyle name="40% - Accent4 4 3 4" xfId="9642" xr:uid="{83E90A58-76B7-4825-ABFA-F9132187F5BB}"/>
    <cellStyle name="40% - Accent4 4 3 5" xfId="18090" xr:uid="{587411C7-0ADF-4A4F-B12E-CA56D8AE9E5C}"/>
    <cellStyle name="40% - Accent4 4 4" xfId="1516" xr:uid="{00000000-0005-0000-0000-000023060000}"/>
    <cellStyle name="40% - Accent4 4 4 2" xfId="3746" xr:uid="{00000000-0005-0000-0000-000024060000}"/>
    <cellStyle name="40% - Accent4 4 4 2 2" xfId="7968" xr:uid="{00000000-0005-0000-0000-000025060000}"/>
    <cellStyle name="40% - Accent4 4 4 2 2 2" xfId="16418" xr:uid="{34A1F862-88CF-464C-A5A8-81A0F71BC22D}"/>
    <cellStyle name="40% - Accent4 4 4 2 2 3" xfId="24865" xr:uid="{9EAF4F86-A300-4E19-88DF-B52439378A80}"/>
    <cellStyle name="40% - Accent4 4 4 2 3" xfId="12200" xr:uid="{D3982788-130E-4F81-99F7-A6FB398F7C33}"/>
    <cellStyle name="40% - Accent4 4 4 2 4" xfId="20648" xr:uid="{397A5775-3C23-433D-99F3-34C4DE27FB4D}"/>
    <cellStyle name="40% - Accent4 4 4 3" xfId="5823" xr:uid="{00000000-0005-0000-0000-000026060000}"/>
    <cellStyle name="40% - Accent4 4 4 3 2" xfId="14273" xr:uid="{D5857254-E0CC-4F95-A3DA-4989D486627D}"/>
    <cellStyle name="40% - Accent4 4 4 3 3" xfId="22720" xr:uid="{99E62DFF-2D7B-40FB-8052-5204571FB2B7}"/>
    <cellStyle name="40% - Accent4 4 4 4" xfId="10055" xr:uid="{C77FFB67-7028-458D-B996-9ADA535CCA30}"/>
    <cellStyle name="40% - Accent4 4 4 5" xfId="18503" xr:uid="{E9FE391A-696E-4DC9-B545-4E0B5F6D2F05}"/>
    <cellStyle name="40% - Accent4 4 5" xfId="1930" xr:uid="{00000000-0005-0000-0000-000027060000}"/>
    <cellStyle name="40% - Accent4 4 5 2" xfId="4159" xr:uid="{00000000-0005-0000-0000-000028060000}"/>
    <cellStyle name="40% - Accent4 4 5 2 2" xfId="8381" xr:uid="{00000000-0005-0000-0000-000029060000}"/>
    <cellStyle name="40% - Accent4 4 5 2 2 2" xfId="16831" xr:uid="{4D92CAD3-4B30-44CB-B1C3-74B20AF1CA8F}"/>
    <cellStyle name="40% - Accent4 4 5 2 2 3" xfId="25278" xr:uid="{111640FF-AC90-41D9-9E88-E617B89CA77C}"/>
    <cellStyle name="40% - Accent4 4 5 2 3" xfId="12613" xr:uid="{5752E725-35A0-4F4D-85D0-F45AF0B261B1}"/>
    <cellStyle name="40% - Accent4 4 5 2 4" xfId="21061" xr:uid="{C6A5B29A-53F5-4620-B06D-0EDF6131A968}"/>
    <cellStyle name="40% - Accent4 4 5 3" xfId="6236" xr:uid="{00000000-0005-0000-0000-00002A060000}"/>
    <cellStyle name="40% - Accent4 4 5 3 2" xfId="14686" xr:uid="{089162C5-256B-4561-8C3E-C4EB14023B39}"/>
    <cellStyle name="40% - Accent4 4 5 3 3" xfId="23133" xr:uid="{EE3838A4-E7DE-4F64-90CE-F03F2328B7B6}"/>
    <cellStyle name="40% - Accent4 4 5 4" xfId="10468" xr:uid="{172928BC-0240-4372-B96F-2F301054609C}"/>
    <cellStyle name="40% - Accent4 4 5 5" xfId="18916" xr:uid="{121F2214-8F3C-413D-8160-11CA02E89BFD}"/>
    <cellStyle name="40% - Accent4 4 6" xfId="2343" xr:uid="{00000000-0005-0000-0000-00002B060000}"/>
    <cellStyle name="40% - Accent4 4 6 2" xfId="6649" xr:uid="{00000000-0005-0000-0000-00002C060000}"/>
    <cellStyle name="40% - Accent4 4 6 2 2" xfId="15099" xr:uid="{E0B65814-296D-43C7-80CE-DC6AC784E5ED}"/>
    <cellStyle name="40% - Accent4 4 6 2 3" xfId="23546" xr:uid="{DD564A95-CB76-49B3-A5E5-D8AD0D1E8F09}"/>
    <cellStyle name="40% - Accent4 4 6 3" xfId="10881" xr:uid="{246F2E13-FCB8-49D2-B810-58BA13963F25}"/>
    <cellStyle name="40% - Accent4 4 6 4" xfId="19329" xr:uid="{471C9031-D295-44F4-AA80-8CA4D112AD6B}"/>
    <cellStyle name="40% - Accent4 4 7" xfId="4583" xr:uid="{00000000-0005-0000-0000-00002D060000}"/>
    <cellStyle name="40% - Accent4 4 7 2" xfId="13033" xr:uid="{E1CDD925-4346-47EA-A053-85A9E07E1D81}"/>
    <cellStyle name="40% - Accent4 4 7 3" xfId="21480" xr:uid="{9929B6C1-1B57-4AF6-8210-8C7695B8D2D5}"/>
    <cellStyle name="40% - Accent4 4 8" xfId="8815" xr:uid="{FD2DDBE9-6CF3-4F66-8C36-C75FF83B9CF2}"/>
    <cellStyle name="40% - Accent4 4 9" xfId="17263" xr:uid="{00275C06-BE59-41D6-92DF-F8EDD693DACF}"/>
    <cellStyle name="40% - Accent4 5" xfId="642" xr:uid="{00000000-0005-0000-0000-00002E060000}"/>
    <cellStyle name="40% - Accent4 5 2" xfId="2913" xr:uid="{00000000-0005-0000-0000-00002F060000}"/>
    <cellStyle name="40% - Accent4 5 2 2" xfId="7135" xr:uid="{00000000-0005-0000-0000-000030060000}"/>
    <cellStyle name="40% - Accent4 5 2 2 2" xfId="15585" xr:uid="{E9BFB875-3200-4378-BCF9-7A8528A798C6}"/>
    <cellStyle name="40% - Accent4 5 2 2 3" xfId="24032" xr:uid="{C24412AF-5463-4F5A-BA91-B59BC844C6BA}"/>
    <cellStyle name="40% - Accent4 5 2 3" xfId="11367" xr:uid="{36E02D1C-BFED-41BB-AB30-EBB97B65C35E}"/>
    <cellStyle name="40% - Accent4 5 2 4" xfId="19815" xr:uid="{EF0D5AA9-81F4-4F77-878E-C8CBECCEBE7B}"/>
    <cellStyle name="40% - Accent4 5 3" xfId="4990" xr:uid="{00000000-0005-0000-0000-000031060000}"/>
    <cellStyle name="40% - Accent4 5 3 2" xfId="13440" xr:uid="{B812BCE3-D931-493B-9AE9-0FF9965258CA}"/>
    <cellStyle name="40% - Accent4 5 3 3" xfId="21887" xr:uid="{1308D17D-1BA1-4F0C-A95F-90D61F066AEE}"/>
    <cellStyle name="40% - Accent4 5 4" xfId="9222" xr:uid="{1D88FEEF-462D-4F05-B73D-09D8F6DE08AA}"/>
    <cellStyle name="40% - Accent4 5 5" xfId="17670" xr:uid="{195C3451-EFA7-46A1-B890-1DB46DF4ADDD}"/>
    <cellStyle name="40% - Accent4 6" xfId="1095" xr:uid="{00000000-0005-0000-0000-000032060000}"/>
    <cellStyle name="40% - Accent4 6 2" xfId="3326" xr:uid="{00000000-0005-0000-0000-000033060000}"/>
    <cellStyle name="40% - Accent4 6 2 2" xfId="7548" xr:uid="{00000000-0005-0000-0000-000034060000}"/>
    <cellStyle name="40% - Accent4 6 2 2 2" xfId="15998" xr:uid="{59169D1E-C1E6-488C-90EC-CB28352934EF}"/>
    <cellStyle name="40% - Accent4 6 2 2 3" xfId="24445" xr:uid="{67D0148E-5135-4253-92C6-A1A7A7350551}"/>
    <cellStyle name="40% - Accent4 6 2 3" xfId="11780" xr:uid="{4580F1FA-82C5-4E3B-9E02-3DF7190DF4F4}"/>
    <cellStyle name="40% - Accent4 6 2 4" xfId="20228" xr:uid="{2F463DFC-AFE2-4A3C-8B24-EBA3F54BC0DC}"/>
    <cellStyle name="40% - Accent4 6 3" xfId="5403" xr:uid="{00000000-0005-0000-0000-000035060000}"/>
    <cellStyle name="40% - Accent4 6 3 2" xfId="13853" xr:uid="{AD9FE9F7-BF6B-45E3-A285-266782525485}"/>
    <cellStyle name="40% - Accent4 6 3 3" xfId="22300" xr:uid="{7775A0D5-C61F-405B-A918-2B2A524AAAA3}"/>
    <cellStyle name="40% - Accent4 6 4" xfId="9635" xr:uid="{452F90E7-F937-40E3-B39B-0E75A714F21C}"/>
    <cellStyle name="40% - Accent4 6 5" xfId="18083" xr:uid="{E0A38837-1A36-4ACE-B98D-B23A5C789339}"/>
    <cellStyle name="40% - Accent4 7" xfId="1509" xr:uid="{00000000-0005-0000-0000-000036060000}"/>
    <cellStyle name="40% - Accent4 7 2" xfId="3739" xr:uid="{00000000-0005-0000-0000-000037060000}"/>
    <cellStyle name="40% - Accent4 7 2 2" xfId="7961" xr:uid="{00000000-0005-0000-0000-000038060000}"/>
    <cellStyle name="40% - Accent4 7 2 2 2" xfId="16411" xr:uid="{9E0307D5-1FE4-4ECE-A7BA-43795065922F}"/>
    <cellStyle name="40% - Accent4 7 2 2 3" xfId="24858" xr:uid="{3D33F144-412B-4765-888A-739FC58425F1}"/>
    <cellStyle name="40% - Accent4 7 2 3" xfId="12193" xr:uid="{7A595398-7261-4047-90DD-101EE0416215}"/>
    <cellStyle name="40% - Accent4 7 2 4" xfId="20641" xr:uid="{F5E8EFAA-79E2-4D44-BF91-98E02509E330}"/>
    <cellStyle name="40% - Accent4 7 3" xfId="5816" xr:uid="{00000000-0005-0000-0000-000039060000}"/>
    <cellStyle name="40% - Accent4 7 3 2" xfId="14266" xr:uid="{6999FA6D-DF0F-4479-A23C-CF2530E39C69}"/>
    <cellStyle name="40% - Accent4 7 3 3" xfId="22713" xr:uid="{CBB1582F-88D4-4DB7-9EF3-A3A8AF9E5667}"/>
    <cellStyle name="40% - Accent4 7 4" xfId="10048" xr:uid="{3281CCB8-60EA-48C2-9EA6-0153236F4DF6}"/>
    <cellStyle name="40% - Accent4 7 5" xfId="18496" xr:uid="{457741F0-C17F-45F9-AA5A-82B5CE2A2DDE}"/>
    <cellStyle name="40% - Accent4 8" xfId="1923" xr:uid="{00000000-0005-0000-0000-00003A060000}"/>
    <cellStyle name="40% - Accent4 8 2" xfId="4152" xr:uid="{00000000-0005-0000-0000-00003B060000}"/>
    <cellStyle name="40% - Accent4 8 2 2" xfId="8374" xr:uid="{00000000-0005-0000-0000-00003C060000}"/>
    <cellStyle name="40% - Accent4 8 2 2 2" xfId="16824" xr:uid="{63D85177-DC58-415D-B4B9-660E2138F851}"/>
    <cellStyle name="40% - Accent4 8 2 2 3" xfId="25271" xr:uid="{E8F0CB6A-67A7-4FBE-A93F-46932E3D63FE}"/>
    <cellStyle name="40% - Accent4 8 2 3" xfId="12606" xr:uid="{E2419B72-8F23-48D8-8708-7D93368097CE}"/>
    <cellStyle name="40% - Accent4 8 2 4" xfId="21054" xr:uid="{1F277C6A-07F5-42B5-B3A5-C3A6C0956084}"/>
    <cellStyle name="40% - Accent4 8 3" xfId="6229" xr:uid="{00000000-0005-0000-0000-00003D060000}"/>
    <cellStyle name="40% - Accent4 8 3 2" xfId="14679" xr:uid="{F33ED48A-6063-4A90-A526-8038CA719D74}"/>
    <cellStyle name="40% - Accent4 8 3 3" xfId="23126" xr:uid="{A9000B56-86D7-4A99-9B0F-D43DEB049F3D}"/>
    <cellStyle name="40% - Accent4 8 4" xfId="10461" xr:uid="{7D9B535E-698A-4186-AE84-EC7F4670A110}"/>
    <cellStyle name="40% - Accent4 8 5" xfId="18909" xr:uid="{E360BEBC-3A64-437F-99C0-F781CF7FE681}"/>
    <cellStyle name="40% - Accent4 9" xfId="2336" xr:uid="{00000000-0005-0000-0000-00003E060000}"/>
    <cellStyle name="40% - Accent4 9 2" xfId="6642" xr:uid="{00000000-0005-0000-0000-00003F060000}"/>
    <cellStyle name="40% - Accent4 9 2 2" xfId="15092" xr:uid="{65ACB870-5668-4832-8782-D24CFF276114}"/>
    <cellStyle name="40% - Accent4 9 2 3" xfId="23539" xr:uid="{F9C4D2BC-C406-4DBE-8BA4-F95324562728}"/>
    <cellStyle name="40% - Accent4 9 3" xfId="10874" xr:uid="{F0DBEC43-918B-45D2-9FAE-C06C43C02A82}"/>
    <cellStyle name="40% - Accent4 9 4" xfId="19322" xr:uid="{7729915D-4AE3-4FEF-86D0-3982C3806ED4}"/>
    <cellStyle name="40% - Accent5" xfId="81" builtinId="47" customBuiltin="1"/>
    <cellStyle name="40% - Accent5 10" xfId="4584" xr:uid="{00000000-0005-0000-0000-000041060000}"/>
    <cellStyle name="40% - Accent5 10 2" xfId="13034" xr:uid="{D1492F55-9D41-4BBF-830A-8FCD1808A85B}"/>
    <cellStyle name="40% - Accent5 10 3" xfId="21481" xr:uid="{CC0D6A74-64BD-43BD-BF99-9D162A6F48EA}"/>
    <cellStyle name="40% - Accent5 11" xfId="8816" xr:uid="{E1BDD0F6-8801-4D0B-9B84-4EC94798F0E8}"/>
    <cellStyle name="40% - Accent5 12" xfId="17264" xr:uid="{DB9C1A9B-0CA2-4744-8FB1-10A65AC2106A}"/>
    <cellStyle name="40% - Accent5 2" xfId="82" xr:uid="{00000000-0005-0000-0000-000042060000}"/>
    <cellStyle name="40% - Accent5 2 10" xfId="8817" xr:uid="{8069A61F-4676-475F-94E3-5A5B53119DA0}"/>
    <cellStyle name="40% - Accent5 2 11" xfId="17265" xr:uid="{790C2D60-37C5-4DD0-B24A-6E8BF628790D}"/>
    <cellStyle name="40% - Accent5 2 2" xfId="83" xr:uid="{00000000-0005-0000-0000-000043060000}"/>
    <cellStyle name="40% - Accent5 2 2 10" xfId="17266" xr:uid="{B6D9EA0F-F274-4619-BE2E-521C4230E3C4}"/>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2 2 2" xfId="15596" xr:uid="{1650055C-F9FC-4091-91B5-D5159053A2E2}"/>
    <cellStyle name="40% - Accent5 2 2 2 2 2 2 3" xfId="24043" xr:uid="{6902FDDF-107F-4008-9851-ED2377E97B56}"/>
    <cellStyle name="40% - Accent5 2 2 2 2 2 3" xfId="11378" xr:uid="{C1592DF0-3803-4CC1-B510-AE0B1F2A182B}"/>
    <cellStyle name="40% - Accent5 2 2 2 2 2 4" xfId="19826" xr:uid="{81943FDC-31CA-4D26-ADA7-C049D0D6F3C7}"/>
    <cellStyle name="40% - Accent5 2 2 2 2 3" xfId="5001" xr:uid="{00000000-0005-0000-0000-000048060000}"/>
    <cellStyle name="40% - Accent5 2 2 2 2 3 2" xfId="13451" xr:uid="{00BF40F6-9F2A-416C-9498-D5C877D6F2FB}"/>
    <cellStyle name="40% - Accent5 2 2 2 2 3 3" xfId="21898" xr:uid="{D9CC46F6-9EA3-4888-A31B-13A409E348F9}"/>
    <cellStyle name="40% - Accent5 2 2 2 2 4" xfId="9233" xr:uid="{9FF4B6EE-7ACE-4FC5-A317-8ECF522B42D4}"/>
    <cellStyle name="40% - Accent5 2 2 2 2 5" xfId="17681" xr:uid="{1A6747AD-5030-471F-B075-794083A554C6}"/>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2 2 2" xfId="16009" xr:uid="{1E873253-991F-4F02-8EA1-A64EC00D6E4B}"/>
    <cellStyle name="40% - Accent5 2 2 2 3 2 2 3" xfId="24456" xr:uid="{2FAB3631-8934-4014-8008-BE7CAE6C6F18}"/>
    <cellStyle name="40% - Accent5 2 2 2 3 2 3" xfId="11791" xr:uid="{1E9DFE11-516E-4871-B7F2-096E8D275491}"/>
    <cellStyle name="40% - Accent5 2 2 2 3 2 4" xfId="20239" xr:uid="{3F74FDD7-4681-4E92-A79B-6D27936691D3}"/>
    <cellStyle name="40% - Accent5 2 2 2 3 3" xfId="5414" xr:uid="{00000000-0005-0000-0000-00004C060000}"/>
    <cellStyle name="40% - Accent5 2 2 2 3 3 2" xfId="13864" xr:uid="{B40529A1-DFB6-4EB0-AFC7-5F17E31697CC}"/>
    <cellStyle name="40% - Accent5 2 2 2 3 3 3" xfId="22311" xr:uid="{17708B89-60C5-40E9-B289-1F1AFD496C01}"/>
    <cellStyle name="40% - Accent5 2 2 2 3 4" xfId="9646" xr:uid="{2620F116-3AA0-4F51-94B7-C2B737BD3AC9}"/>
    <cellStyle name="40% - Accent5 2 2 2 3 5" xfId="18094" xr:uid="{4E5C1FC4-6F33-4EF1-BEEC-E99A3EBF9123}"/>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2 2 2" xfId="16422" xr:uid="{00A84394-ABC5-4217-820D-A5AFC163D260}"/>
    <cellStyle name="40% - Accent5 2 2 2 4 2 2 3" xfId="24869" xr:uid="{7E428125-597C-45D9-8B71-29A2148F45E4}"/>
    <cellStyle name="40% - Accent5 2 2 2 4 2 3" xfId="12204" xr:uid="{45F248FA-E77C-4C05-B4CD-2A9278EA9AE1}"/>
    <cellStyle name="40% - Accent5 2 2 2 4 2 4" xfId="20652" xr:uid="{B7F6E466-DA1B-4EF5-8929-23A04584100D}"/>
    <cellStyle name="40% - Accent5 2 2 2 4 3" xfId="5827" xr:uid="{00000000-0005-0000-0000-000050060000}"/>
    <cellStyle name="40% - Accent5 2 2 2 4 3 2" xfId="14277" xr:uid="{B7710DD1-A8F9-498A-9AD0-259044E80099}"/>
    <cellStyle name="40% - Accent5 2 2 2 4 3 3" xfId="22724" xr:uid="{CBA161CB-36FB-46DF-8F64-AAE26BD0E1D3}"/>
    <cellStyle name="40% - Accent5 2 2 2 4 4" xfId="10059" xr:uid="{ABEA97B3-314B-4F96-9F3D-A06F6DC8954D}"/>
    <cellStyle name="40% - Accent5 2 2 2 4 5" xfId="18507" xr:uid="{ED016FAE-6C07-4971-BEA3-44EE77447947}"/>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2 2 2" xfId="16835" xr:uid="{FFDF9FB1-FB7C-487A-9BFA-06A3532065D7}"/>
    <cellStyle name="40% - Accent5 2 2 2 5 2 2 3" xfId="25282" xr:uid="{488535F1-DDD5-4FBD-BA44-4B8951A3CB43}"/>
    <cellStyle name="40% - Accent5 2 2 2 5 2 3" xfId="12617" xr:uid="{5D33A171-F1E0-48C2-A8A2-ECB8DFB5EAF0}"/>
    <cellStyle name="40% - Accent5 2 2 2 5 2 4" xfId="21065" xr:uid="{5CA824F6-C2A1-422D-9750-46074D26C0B0}"/>
    <cellStyle name="40% - Accent5 2 2 2 5 3" xfId="6240" xr:uid="{00000000-0005-0000-0000-000054060000}"/>
    <cellStyle name="40% - Accent5 2 2 2 5 3 2" xfId="14690" xr:uid="{F5562CDE-512E-4345-8B17-A7C6C0C3128E}"/>
    <cellStyle name="40% - Accent5 2 2 2 5 3 3" xfId="23137" xr:uid="{D129FDC0-DE7B-46AC-AB2C-DF22E213B0C8}"/>
    <cellStyle name="40% - Accent5 2 2 2 5 4" xfId="10472" xr:uid="{357309FF-A5C9-499F-8C9C-C4F2FF7C9EC8}"/>
    <cellStyle name="40% - Accent5 2 2 2 5 5" xfId="18920" xr:uid="{25D59464-5466-45B1-8968-B33F427406E1}"/>
    <cellStyle name="40% - Accent5 2 2 2 6" xfId="2347" xr:uid="{00000000-0005-0000-0000-000055060000}"/>
    <cellStyle name="40% - Accent5 2 2 2 6 2" xfId="6653" xr:uid="{00000000-0005-0000-0000-000056060000}"/>
    <cellStyle name="40% - Accent5 2 2 2 6 2 2" xfId="15103" xr:uid="{D2AB8DC2-4FCB-41A8-972F-322EDE780403}"/>
    <cellStyle name="40% - Accent5 2 2 2 6 2 3" xfId="23550" xr:uid="{C5E9BD1D-2C6F-4D0D-98BA-837946224428}"/>
    <cellStyle name="40% - Accent5 2 2 2 6 3" xfId="10885" xr:uid="{6AA66489-BE3A-4900-9CD1-9057B502A825}"/>
    <cellStyle name="40% - Accent5 2 2 2 6 4" xfId="19333" xr:uid="{32017F64-C177-4079-AB79-4CF7302BE554}"/>
    <cellStyle name="40% - Accent5 2 2 2 7" xfId="4587" xr:uid="{00000000-0005-0000-0000-000057060000}"/>
    <cellStyle name="40% - Accent5 2 2 2 7 2" xfId="13037" xr:uid="{846EC8AA-371D-4112-9214-A3A55A465696}"/>
    <cellStyle name="40% - Accent5 2 2 2 7 3" xfId="21484" xr:uid="{3B1A768F-E95B-45F3-BBDB-E5D95CF57C71}"/>
    <cellStyle name="40% - Accent5 2 2 2 8" xfId="8819" xr:uid="{D06E189C-CDC1-43D2-BD8F-D61B64B18FA4}"/>
    <cellStyle name="40% - Accent5 2 2 2 9" xfId="17267" xr:uid="{5332A106-E6A8-4ECC-A202-45C5A408C6C8}"/>
    <cellStyle name="40% - Accent5 2 2 3" xfId="652" xr:uid="{00000000-0005-0000-0000-000058060000}"/>
    <cellStyle name="40% - Accent5 2 2 3 2" xfId="2923" xr:uid="{00000000-0005-0000-0000-000059060000}"/>
    <cellStyle name="40% - Accent5 2 2 3 2 2" xfId="7145" xr:uid="{00000000-0005-0000-0000-00005A060000}"/>
    <cellStyle name="40% - Accent5 2 2 3 2 2 2" xfId="15595" xr:uid="{56104709-0148-4B81-895F-636A53B0DB30}"/>
    <cellStyle name="40% - Accent5 2 2 3 2 2 3" xfId="24042" xr:uid="{5992CBF0-2830-4E08-BFD7-CE4E3035A50E}"/>
    <cellStyle name="40% - Accent5 2 2 3 2 3" xfId="11377" xr:uid="{FA851790-0D27-4DF9-865A-9FAAE99737AF}"/>
    <cellStyle name="40% - Accent5 2 2 3 2 4" xfId="19825" xr:uid="{8A097655-73D8-4CEE-9256-EFCCE79E77C7}"/>
    <cellStyle name="40% - Accent5 2 2 3 3" xfId="5000" xr:uid="{00000000-0005-0000-0000-00005B060000}"/>
    <cellStyle name="40% - Accent5 2 2 3 3 2" xfId="13450" xr:uid="{D9E79415-DEF8-4F74-A7A5-88ACDFDA924C}"/>
    <cellStyle name="40% - Accent5 2 2 3 3 3" xfId="21897" xr:uid="{4102F916-17FC-42CD-8A27-7971CDC253DB}"/>
    <cellStyle name="40% - Accent5 2 2 3 4" xfId="9232" xr:uid="{647A28BD-FFB9-4CF5-97A2-7E9AC84B79CC}"/>
    <cellStyle name="40% - Accent5 2 2 3 5" xfId="17680" xr:uid="{244E84F8-AEC3-493A-BF98-BA9EE3464D8D}"/>
    <cellStyle name="40% - Accent5 2 2 4" xfId="1105" xr:uid="{00000000-0005-0000-0000-00005C060000}"/>
    <cellStyle name="40% - Accent5 2 2 4 2" xfId="3336" xr:uid="{00000000-0005-0000-0000-00005D060000}"/>
    <cellStyle name="40% - Accent5 2 2 4 2 2" xfId="7558" xr:uid="{00000000-0005-0000-0000-00005E060000}"/>
    <cellStyle name="40% - Accent5 2 2 4 2 2 2" xfId="16008" xr:uid="{8FE7937D-5241-4733-B071-13CD2BAE5BAD}"/>
    <cellStyle name="40% - Accent5 2 2 4 2 2 3" xfId="24455" xr:uid="{F158C0FF-50C7-4E64-A779-CB6A48793353}"/>
    <cellStyle name="40% - Accent5 2 2 4 2 3" xfId="11790" xr:uid="{7C6D68C9-4DDA-44F6-8F2A-D88229D1FA5B}"/>
    <cellStyle name="40% - Accent5 2 2 4 2 4" xfId="20238" xr:uid="{E69867D9-8A6F-4489-A813-822D1A635B86}"/>
    <cellStyle name="40% - Accent5 2 2 4 3" xfId="5413" xr:uid="{00000000-0005-0000-0000-00005F060000}"/>
    <cellStyle name="40% - Accent5 2 2 4 3 2" xfId="13863" xr:uid="{D4A24037-6334-4A99-8733-FA65380B1873}"/>
    <cellStyle name="40% - Accent5 2 2 4 3 3" xfId="22310" xr:uid="{1229224A-5A31-4851-9655-0CACFFCEB44B}"/>
    <cellStyle name="40% - Accent5 2 2 4 4" xfId="9645" xr:uid="{06D883D9-F7A7-4E34-AE31-3F7B208C2EF0}"/>
    <cellStyle name="40% - Accent5 2 2 4 5" xfId="18093" xr:uid="{4541AC49-FA9E-4338-88FF-AC4DBCA44B70}"/>
    <cellStyle name="40% - Accent5 2 2 5" xfId="1519" xr:uid="{00000000-0005-0000-0000-000060060000}"/>
    <cellStyle name="40% - Accent5 2 2 5 2" xfId="3749" xr:uid="{00000000-0005-0000-0000-000061060000}"/>
    <cellStyle name="40% - Accent5 2 2 5 2 2" xfId="7971" xr:uid="{00000000-0005-0000-0000-000062060000}"/>
    <cellStyle name="40% - Accent5 2 2 5 2 2 2" xfId="16421" xr:uid="{53120F6D-CDA5-44AF-9B7C-434D56C5DAED}"/>
    <cellStyle name="40% - Accent5 2 2 5 2 2 3" xfId="24868" xr:uid="{35D6C91A-708C-4A61-9FEA-CE2FBCD271F2}"/>
    <cellStyle name="40% - Accent5 2 2 5 2 3" xfId="12203" xr:uid="{6B747F16-14A4-4CF2-8E2D-E13E7099160B}"/>
    <cellStyle name="40% - Accent5 2 2 5 2 4" xfId="20651" xr:uid="{6285AF3D-064E-405C-A869-08EBDA82B105}"/>
    <cellStyle name="40% - Accent5 2 2 5 3" xfId="5826" xr:uid="{00000000-0005-0000-0000-000063060000}"/>
    <cellStyle name="40% - Accent5 2 2 5 3 2" xfId="14276" xr:uid="{900F2347-942A-4E29-9ACD-603735A3DEB9}"/>
    <cellStyle name="40% - Accent5 2 2 5 3 3" xfId="22723" xr:uid="{C66DC577-53F0-4BE4-885E-497FE322F945}"/>
    <cellStyle name="40% - Accent5 2 2 5 4" xfId="10058" xr:uid="{43C17842-CFD5-4407-9859-1E7A4A763A0D}"/>
    <cellStyle name="40% - Accent5 2 2 5 5" xfId="18506" xr:uid="{B2BAFCE9-593D-440D-8772-A4C8F926C3CB}"/>
    <cellStyle name="40% - Accent5 2 2 6" xfId="1933" xr:uid="{00000000-0005-0000-0000-000064060000}"/>
    <cellStyle name="40% - Accent5 2 2 6 2" xfId="4162" xr:uid="{00000000-0005-0000-0000-000065060000}"/>
    <cellStyle name="40% - Accent5 2 2 6 2 2" xfId="8384" xr:uid="{00000000-0005-0000-0000-000066060000}"/>
    <cellStyle name="40% - Accent5 2 2 6 2 2 2" xfId="16834" xr:uid="{E3032F17-5A86-4244-8123-8608ECCFA437}"/>
    <cellStyle name="40% - Accent5 2 2 6 2 2 3" xfId="25281" xr:uid="{8985B704-A3C6-4379-9EBD-765F6FB7231E}"/>
    <cellStyle name="40% - Accent5 2 2 6 2 3" xfId="12616" xr:uid="{C78E74F3-CEAF-4990-88DE-E00F8A2C330D}"/>
    <cellStyle name="40% - Accent5 2 2 6 2 4" xfId="21064" xr:uid="{947650FE-F0F1-4396-9D14-4E139E064610}"/>
    <cellStyle name="40% - Accent5 2 2 6 3" xfId="6239" xr:uid="{00000000-0005-0000-0000-000067060000}"/>
    <cellStyle name="40% - Accent5 2 2 6 3 2" xfId="14689" xr:uid="{2681FF9C-2433-4A69-89B3-C19BA832C289}"/>
    <cellStyle name="40% - Accent5 2 2 6 3 3" xfId="23136" xr:uid="{A13A8FDC-375C-413A-9874-4B5A0219818C}"/>
    <cellStyle name="40% - Accent5 2 2 6 4" xfId="10471" xr:uid="{4063D144-00B2-45FA-89D4-DC95A85D01D9}"/>
    <cellStyle name="40% - Accent5 2 2 6 5" xfId="18919" xr:uid="{89C5625A-AE40-44A5-98DA-49C5D99519FB}"/>
    <cellStyle name="40% - Accent5 2 2 7" xfId="2346" xr:uid="{00000000-0005-0000-0000-000068060000}"/>
    <cellStyle name="40% - Accent5 2 2 7 2" xfId="6652" xr:uid="{00000000-0005-0000-0000-000069060000}"/>
    <cellStyle name="40% - Accent5 2 2 7 2 2" xfId="15102" xr:uid="{006B3589-2313-4258-8103-7ED52DE54063}"/>
    <cellStyle name="40% - Accent5 2 2 7 2 3" xfId="23549" xr:uid="{8B7A0279-9457-470B-A318-374961A0927A}"/>
    <cellStyle name="40% - Accent5 2 2 7 3" xfId="10884" xr:uid="{153A5DDF-991C-4401-84B0-E691A8B006A2}"/>
    <cellStyle name="40% - Accent5 2 2 7 4" xfId="19332" xr:uid="{1E33E35E-1DB0-433A-A9FA-3838AC190D0C}"/>
    <cellStyle name="40% - Accent5 2 2 8" xfId="4586" xr:uid="{00000000-0005-0000-0000-00006A060000}"/>
    <cellStyle name="40% - Accent5 2 2 8 2" xfId="13036" xr:uid="{6654C695-8F51-4206-98E1-93FAEC325F1F}"/>
    <cellStyle name="40% - Accent5 2 2 8 3" xfId="21483" xr:uid="{C3996A28-6090-413C-A073-F761E4E5CA10}"/>
    <cellStyle name="40% - Accent5 2 2 9" xfId="8818" xr:uid="{D88C6387-1E20-4D6B-89B7-9240575A1046}"/>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2 2 2" xfId="15597" xr:uid="{A8E148CF-1AF9-4673-B6F8-0892FA18FD7E}"/>
    <cellStyle name="40% - Accent5 2 3 2 2 2 3" xfId="24044" xr:uid="{C3CC839E-60AA-442C-97FE-277D6B21D2AA}"/>
    <cellStyle name="40% - Accent5 2 3 2 2 3" xfId="11379" xr:uid="{D03E9102-82A4-47CC-874F-EF294DDA3950}"/>
    <cellStyle name="40% - Accent5 2 3 2 2 4" xfId="19827" xr:uid="{EC536784-7314-4E5D-8688-930844635B86}"/>
    <cellStyle name="40% - Accent5 2 3 2 3" xfId="5002" xr:uid="{00000000-0005-0000-0000-00006F060000}"/>
    <cellStyle name="40% - Accent5 2 3 2 3 2" xfId="13452" xr:uid="{FFA9E842-4478-415C-BA75-16E36DE2834B}"/>
    <cellStyle name="40% - Accent5 2 3 2 3 3" xfId="21899" xr:uid="{3AB95866-16B9-445F-BFF4-51EC3A27FA9B}"/>
    <cellStyle name="40% - Accent5 2 3 2 4" xfId="9234" xr:uid="{688419D4-1A86-4B88-91D6-7D007E292AFD}"/>
    <cellStyle name="40% - Accent5 2 3 2 5" xfId="17682" xr:uid="{125B07EC-AFD2-4EBD-8D3A-95578EC5DAF1}"/>
    <cellStyle name="40% - Accent5 2 3 3" xfId="1107" xr:uid="{00000000-0005-0000-0000-000070060000}"/>
    <cellStyle name="40% - Accent5 2 3 3 2" xfId="3338" xr:uid="{00000000-0005-0000-0000-000071060000}"/>
    <cellStyle name="40% - Accent5 2 3 3 2 2" xfId="7560" xr:uid="{00000000-0005-0000-0000-000072060000}"/>
    <cellStyle name="40% - Accent5 2 3 3 2 2 2" xfId="16010" xr:uid="{75078FEB-1471-4020-A05C-BFDE8156436E}"/>
    <cellStyle name="40% - Accent5 2 3 3 2 2 3" xfId="24457" xr:uid="{01817BAF-FB6A-4B31-A1A5-A0DBEA2AB693}"/>
    <cellStyle name="40% - Accent5 2 3 3 2 3" xfId="11792" xr:uid="{C6E24984-A402-4560-8319-AE09B9AA80BB}"/>
    <cellStyle name="40% - Accent5 2 3 3 2 4" xfId="20240" xr:uid="{A11D6E9E-7447-47DB-8C7F-90744EA91224}"/>
    <cellStyle name="40% - Accent5 2 3 3 3" xfId="5415" xr:uid="{00000000-0005-0000-0000-000073060000}"/>
    <cellStyle name="40% - Accent5 2 3 3 3 2" xfId="13865" xr:uid="{09BF878A-608B-42E6-B05B-2011EBFE824C}"/>
    <cellStyle name="40% - Accent5 2 3 3 3 3" xfId="22312" xr:uid="{5694E2FA-513D-46AA-96B8-C37BB3F78752}"/>
    <cellStyle name="40% - Accent5 2 3 3 4" xfId="9647" xr:uid="{BBB94708-B9D3-4CD8-9825-1028CCB1AC31}"/>
    <cellStyle name="40% - Accent5 2 3 3 5" xfId="18095" xr:uid="{AE1556D4-362B-4CCD-955A-6256C547A8B5}"/>
    <cellStyle name="40% - Accent5 2 3 4" xfId="1521" xr:uid="{00000000-0005-0000-0000-000074060000}"/>
    <cellStyle name="40% - Accent5 2 3 4 2" xfId="3751" xr:uid="{00000000-0005-0000-0000-000075060000}"/>
    <cellStyle name="40% - Accent5 2 3 4 2 2" xfId="7973" xr:uid="{00000000-0005-0000-0000-000076060000}"/>
    <cellStyle name="40% - Accent5 2 3 4 2 2 2" xfId="16423" xr:uid="{F3611A96-375F-43B4-98E3-13AB9DFF9B75}"/>
    <cellStyle name="40% - Accent5 2 3 4 2 2 3" xfId="24870" xr:uid="{16B59B0B-A6E6-4BA0-A586-55CCAF69A60D}"/>
    <cellStyle name="40% - Accent5 2 3 4 2 3" xfId="12205" xr:uid="{741A99F0-EEDB-4C07-9287-61452C34E42C}"/>
    <cellStyle name="40% - Accent5 2 3 4 2 4" xfId="20653" xr:uid="{2EEDEC05-BBFC-40CD-BCBC-C12A5B644ED7}"/>
    <cellStyle name="40% - Accent5 2 3 4 3" xfId="5828" xr:uid="{00000000-0005-0000-0000-000077060000}"/>
    <cellStyle name="40% - Accent5 2 3 4 3 2" xfId="14278" xr:uid="{AE6D7346-E52A-4800-A021-4A57E4305F92}"/>
    <cellStyle name="40% - Accent5 2 3 4 3 3" xfId="22725" xr:uid="{4DF3D471-19CC-4BDF-8870-E7A80B9DFF0F}"/>
    <cellStyle name="40% - Accent5 2 3 4 4" xfId="10060" xr:uid="{15D1AD30-A82F-497B-9845-F4AE0CE5EB60}"/>
    <cellStyle name="40% - Accent5 2 3 4 5" xfId="18508" xr:uid="{D8C4CD0B-D8B9-4EAF-80D5-213666A7E924}"/>
    <cellStyle name="40% - Accent5 2 3 5" xfId="1935" xr:uid="{00000000-0005-0000-0000-000078060000}"/>
    <cellStyle name="40% - Accent5 2 3 5 2" xfId="4164" xr:uid="{00000000-0005-0000-0000-000079060000}"/>
    <cellStyle name="40% - Accent5 2 3 5 2 2" xfId="8386" xr:uid="{00000000-0005-0000-0000-00007A060000}"/>
    <cellStyle name="40% - Accent5 2 3 5 2 2 2" xfId="16836" xr:uid="{E12A2F36-194A-4633-82E9-ED6E1B55BB4C}"/>
    <cellStyle name="40% - Accent5 2 3 5 2 2 3" xfId="25283" xr:uid="{31670311-BDBC-4BE5-85F6-87CA5F7001CE}"/>
    <cellStyle name="40% - Accent5 2 3 5 2 3" xfId="12618" xr:uid="{F0C8FAF6-72F0-483C-AB65-2C7E98558116}"/>
    <cellStyle name="40% - Accent5 2 3 5 2 4" xfId="21066" xr:uid="{04F49F79-4F6D-4CC5-B4DC-57FF8A5E2E0B}"/>
    <cellStyle name="40% - Accent5 2 3 5 3" xfId="6241" xr:uid="{00000000-0005-0000-0000-00007B060000}"/>
    <cellStyle name="40% - Accent5 2 3 5 3 2" xfId="14691" xr:uid="{85CB00CD-26CB-42C8-B68C-219AD05B9787}"/>
    <cellStyle name="40% - Accent5 2 3 5 3 3" xfId="23138" xr:uid="{4CE15513-9313-41B2-9025-DBE3E2A30ED3}"/>
    <cellStyle name="40% - Accent5 2 3 5 4" xfId="10473" xr:uid="{F936B6AB-6963-469E-B6A3-71462051ECD4}"/>
    <cellStyle name="40% - Accent5 2 3 5 5" xfId="18921" xr:uid="{7459EBBD-BFCC-445A-B2DB-F7C65F553A78}"/>
    <cellStyle name="40% - Accent5 2 3 6" xfId="2348" xr:uid="{00000000-0005-0000-0000-00007C060000}"/>
    <cellStyle name="40% - Accent5 2 3 6 2" xfId="6654" xr:uid="{00000000-0005-0000-0000-00007D060000}"/>
    <cellStyle name="40% - Accent5 2 3 6 2 2" xfId="15104" xr:uid="{80BC7391-1D0E-40FD-BBAB-2ECCA27242EE}"/>
    <cellStyle name="40% - Accent5 2 3 6 2 3" xfId="23551" xr:uid="{B14E0C44-2B9D-47F9-86CA-D34F6C20214E}"/>
    <cellStyle name="40% - Accent5 2 3 6 3" xfId="10886" xr:uid="{E9011201-9EBC-4086-80DF-CA9C13E55F69}"/>
    <cellStyle name="40% - Accent5 2 3 6 4" xfId="19334" xr:uid="{E49C13CB-12B4-4BF5-8180-AD813D3EF4E8}"/>
    <cellStyle name="40% - Accent5 2 3 7" xfId="4588" xr:uid="{00000000-0005-0000-0000-00007E060000}"/>
    <cellStyle name="40% - Accent5 2 3 7 2" xfId="13038" xr:uid="{777A2A9A-33A0-476E-B105-78814B009113}"/>
    <cellStyle name="40% - Accent5 2 3 7 3" xfId="21485" xr:uid="{208BF6FD-B6C8-41E0-9E57-41683F873D48}"/>
    <cellStyle name="40% - Accent5 2 3 8" xfId="8820" xr:uid="{BCBFAB9D-056F-42FC-8BEB-3C167DF531F4}"/>
    <cellStyle name="40% - Accent5 2 3 9" xfId="17268" xr:uid="{5E81319E-0766-48AC-A3B7-09FC85C4B886}"/>
    <cellStyle name="40% - Accent5 2 4" xfId="651" xr:uid="{00000000-0005-0000-0000-00007F060000}"/>
    <cellStyle name="40% - Accent5 2 4 2" xfId="2922" xr:uid="{00000000-0005-0000-0000-000080060000}"/>
    <cellStyle name="40% - Accent5 2 4 2 2" xfId="7144" xr:uid="{00000000-0005-0000-0000-000081060000}"/>
    <cellStyle name="40% - Accent5 2 4 2 2 2" xfId="15594" xr:uid="{3298109E-526B-4355-A284-D91E835B683B}"/>
    <cellStyle name="40% - Accent5 2 4 2 2 3" xfId="24041" xr:uid="{526C62DA-FDEF-427E-85DF-5BD6181AF457}"/>
    <cellStyle name="40% - Accent5 2 4 2 3" xfId="11376" xr:uid="{05E108AC-9AF7-42B8-9216-ECE70D8FA146}"/>
    <cellStyle name="40% - Accent5 2 4 2 4" xfId="19824" xr:uid="{D039A2E3-E362-49C9-872D-7F452A4593C9}"/>
    <cellStyle name="40% - Accent5 2 4 3" xfId="4999" xr:uid="{00000000-0005-0000-0000-000082060000}"/>
    <cellStyle name="40% - Accent5 2 4 3 2" xfId="13449" xr:uid="{B86F3841-4A78-47E3-A68D-DEE6D8475BF8}"/>
    <cellStyle name="40% - Accent5 2 4 3 3" xfId="21896" xr:uid="{E7F7DDED-05F9-4F09-9CBC-E23205614991}"/>
    <cellStyle name="40% - Accent5 2 4 4" xfId="9231" xr:uid="{2EF9692E-E818-4272-92BC-09786B63660D}"/>
    <cellStyle name="40% - Accent5 2 4 5" xfId="17679" xr:uid="{0DE6E2A9-0B9D-4287-B8F7-059EF94F32CA}"/>
    <cellStyle name="40% - Accent5 2 5" xfId="1104" xr:uid="{00000000-0005-0000-0000-000083060000}"/>
    <cellStyle name="40% - Accent5 2 5 2" xfId="3335" xr:uid="{00000000-0005-0000-0000-000084060000}"/>
    <cellStyle name="40% - Accent5 2 5 2 2" xfId="7557" xr:uid="{00000000-0005-0000-0000-000085060000}"/>
    <cellStyle name="40% - Accent5 2 5 2 2 2" xfId="16007" xr:uid="{549B0D79-7CCD-4487-9D53-10672B8FEC5E}"/>
    <cellStyle name="40% - Accent5 2 5 2 2 3" xfId="24454" xr:uid="{D9371D10-D9D0-41EC-BA41-D0A1257CA15B}"/>
    <cellStyle name="40% - Accent5 2 5 2 3" xfId="11789" xr:uid="{FFB4E04E-9AAE-40C1-9497-EA278D9E8E2C}"/>
    <cellStyle name="40% - Accent5 2 5 2 4" xfId="20237" xr:uid="{EC687965-236D-4A44-9B18-F005ADFA160E}"/>
    <cellStyle name="40% - Accent5 2 5 3" xfId="5412" xr:uid="{00000000-0005-0000-0000-000086060000}"/>
    <cellStyle name="40% - Accent5 2 5 3 2" xfId="13862" xr:uid="{0749E00C-8359-4F8E-B945-4F135AB4255F}"/>
    <cellStyle name="40% - Accent5 2 5 3 3" xfId="22309" xr:uid="{169C959F-293C-45FF-9A52-64CB3D5BC011}"/>
    <cellStyle name="40% - Accent5 2 5 4" xfId="9644" xr:uid="{70A2A091-B30A-4C47-A9EC-CF08DE9D20F1}"/>
    <cellStyle name="40% - Accent5 2 5 5" xfId="18092" xr:uid="{5ACE0FE7-09F5-472B-AA55-FDDC065A650D}"/>
    <cellStyle name="40% - Accent5 2 6" xfId="1518" xr:uid="{00000000-0005-0000-0000-000087060000}"/>
    <cellStyle name="40% - Accent5 2 6 2" xfId="3748" xr:uid="{00000000-0005-0000-0000-000088060000}"/>
    <cellStyle name="40% - Accent5 2 6 2 2" xfId="7970" xr:uid="{00000000-0005-0000-0000-000089060000}"/>
    <cellStyle name="40% - Accent5 2 6 2 2 2" xfId="16420" xr:uid="{CDCD29AE-FE7D-4473-91A6-E2E401F8F754}"/>
    <cellStyle name="40% - Accent5 2 6 2 2 3" xfId="24867" xr:uid="{440A8C42-3008-409C-9746-26E9EBC0B8F8}"/>
    <cellStyle name="40% - Accent5 2 6 2 3" xfId="12202" xr:uid="{00F3EFA1-45FD-4189-8D0E-1819902D1160}"/>
    <cellStyle name="40% - Accent5 2 6 2 4" xfId="20650" xr:uid="{FCB14E35-1B60-4056-87C0-B395A9349604}"/>
    <cellStyle name="40% - Accent5 2 6 3" xfId="5825" xr:uid="{00000000-0005-0000-0000-00008A060000}"/>
    <cellStyle name="40% - Accent5 2 6 3 2" xfId="14275" xr:uid="{077D3667-48E5-466A-ADEC-1D6B55C96C21}"/>
    <cellStyle name="40% - Accent5 2 6 3 3" xfId="22722" xr:uid="{264EE305-74F2-49F1-AB41-17218EB6C9B0}"/>
    <cellStyle name="40% - Accent5 2 6 4" xfId="10057" xr:uid="{8FE2D518-4DCB-4696-9950-FB897C4E76A4}"/>
    <cellStyle name="40% - Accent5 2 6 5" xfId="18505" xr:uid="{36848920-A2DF-414D-9CA2-A55D6D8B6EFA}"/>
    <cellStyle name="40% - Accent5 2 7" xfId="1932" xr:uid="{00000000-0005-0000-0000-00008B060000}"/>
    <cellStyle name="40% - Accent5 2 7 2" xfId="4161" xr:uid="{00000000-0005-0000-0000-00008C060000}"/>
    <cellStyle name="40% - Accent5 2 7 2 2" xfId="8383" xr:uid="{00000000-0005-0000-0000-00008D060000}"/>
    <cellStyle name="40% - Accent5 2 7 2 2 2" xfId="16833" xr:uid="{5ACAB2F8-6AF3-4C5C-B7BD-192086E59366}"/>
    <cellStyle name="40% - Accent5 2 7 2 2 3" xfId="25280" xr:uid="{80A31504-E76B-46CF-B880-7066C74921D3}"/>
    <cellStyle name="40% - Accent5 2 7 2 3" xfId="12615" xr:uid="{38F60FB9-19FC-4ECE-B57C-5D62FEDDF712}"/>
    <cellStyle name="40% - Accent5 2 7 2 4" xfId="21063" xr:uid="{57E8238F-6834-4ED0-920D-61A01A87C3CC}"/>
    <cellStyle name="40% - Accent5 2 7 3" xfId="6238" xr:uid="{00000000-0005-0000-0000-00008E060000}"/>
    <cellStyle name="40% - Accent5 2 7 3 2" xfId="14688" xr:uid="{666810EF-361D-4204-87BE-3BF42CB1C96E}"/>
    <cellStyle name="40% - Accent5 2 7 3 3" xfId="23135" xr:uid="{73628FBF-FC0B-462A-A66A-C7E4BEC23255}"/>
    <cellStyle name="40% - Accent5 2 7 4" xfId="10470" xr:uid="{6938C631-A2F7-4E55-8980-08FD82E794F3}"/>
    <cellStyle name="40% - Accent5 2 7 5" xfId="18918" xr:uid="{5E0E4118-8826-4A00-A2E5-FC6D0349EA57}"/>
    <cellStyle name="40% - Accent5 2 8" xfId="2345" xr:uid="{00000000-0005-0000-0000-00008F060000}"/>
    <cellStyle name="40% - Accent5 2 8 2" xfId="6651" xr:uid="{00000000-0005-0000-0000-000090060000}"/>
    <cellStyle name="40% - Accent5 2 8 2 2" xfId="15101" xr:uid="{549E31A5-2844-4D03-A1F7-1AA2BF98E959}"/>
    <cellStyle name="40% - Accent5 2 8 2 3" xfId="23548" xr:uid="{E4F5C945-9D02-4D55-87DB-E6B895614B42}"/>
    <cellStyle name="40% - Accent5 2 8 3" xfId="10883" xr:uid="{21243FB2-10F1-4AE8-857E-67D77AA9BF5F}"/>
    <cellStyle name="40% - Accent5 2 8 4" xfId="19331" xr:uid="{78EC28AB-871A-4EEA-95B9-6BD101F0771D}"/>
    <cellStyle name="40% - Accent5 2 9" xfId="4585" xr:uid="{00000000-0005-0000-0000-000091060000}"/>
    <cellStyle name="40% - Accent5 2 9 2" xfId="13035" xr:uid="{1DD26A3E-BABC-44EC-9AC2-D9AF54002DD3}"/>
    <cellStyle name="40% - Accent5 2 9 3" xfId="21482" xr:uid="{B0CAC213-EEEC-43BD-ACE5-941979E46BC8}"/>
    <cellStyle name="40% - Accent5 3" xfId="86" xr:uid="{00000000-0005-0000-0000-000092060000}"/>
    <cellStyle name="40% - Accent5 3 10" xfId="17269" xr:uid="{7E233F6B-604E-4A46-AE74-6E36B84049D3}"/>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2 2 2" xfId="15599" xr:uid="{60FA3EEF-A0D1-4D5F-9BE7-1BDFDB977AA0}"/>
    <cellStyle name="40% - Accent5 3 2 2 2 2 3" xfId="24046" xr:uid="{4B3E8449-5D05-4388-932C-5E6650ED99FD}"/>
    <cellStyle name="40% - Accent5 3 2 2 2 3" xfId="11381" xr:uid="{7D1B7E35-127F-4B9A-A95E-F7435653F27C}"/>
    <cellStyle name="40% - Accent5 3 2 2 2 4" xfId="19829" xr:uid="{1A956039-E830-4381-B568-D25EA2EAE3BD}"/>
    <cellStyle name="40% - Accent5 3 2 2 3" xfId="5004" xr:uid="{00000000-0005-0000-0000-000097060000}"/>
    <cellStyle name="40% - Accent5 3 2 2 3 2" xfId="13454" xr:uid="{ACF1FE2C-C5D2-4830-8E68-4D712C3B21A0}"/>
    <cellStyle name="40% - Accent5 3 2 2 3 3" xfId="21901" xr:uid="{5C0F0459-319B-47AB-9EBC-A19558628AD4}"/>
    <cellStyle name="40% - Accent5 3 2 2 4" xfId="9236" xr:uid="{67B67661-A583-46C5-8F89-56A0600AB2E3}"/>
    <cellStyle name="40% - Accent5 3 2 2 5" xfId="17684" xr:uid="{EB03748F-5B30-4BAB-A5B2-886C5183A7FD}"/>
    <cellStyle name="40% - Accent5 3 2 3" xfId="1109" xr:uid="{00000000-0005-0000-0000-000098060000}"/>
    <cellStyle name="40% - Accent5 3 2 3 2" xfId="3340" xr:uid="{00000000-0005-0000-0000-000099060000}"/>
    <cellStyle name="40% - Accent5 3 2 3 2 2" xfId="7562" xr:uid="{00000000-0005-0000-0000-00009A060000}"/>
    <cellStyle name="40% - Accent5 3 2 3 2 2 2" xfId="16012" xr:uid="{3A90D8D8-1ECA-46EA-8531-DF8ECBF83024}"/>
    <cellStyle name="40% - Accent5 3 2 3 2 2 3" xfId="24459" xr:uid="{623B24E3-3F00-426D-A4D3-18C4B095D773}"/>
    <cellStyle name="40% - Accent5 3 2 3 2 3" xfId="11794" xr:uid="{F7EB51B0-B0D3-4125-B66C-0599192C4EBE}"/>
    <cellStyle name="40% - Accent5 3 2 3 2 4" xfId="20242" xr:uid="{D3991599-3A80-4E8C-A5B7-A994B72AA404}"/>
    <cellStyle name="40% - Accent5 3 2 3 3" xfId="5417" xr:uid="{00000000-0005-0000-0000-00009B060000}"/>
    <cellStyle name="40% - Accent5 3 2 3 3 2" xfId="13867" xr:uid="{C1AF2516-67D7-4BF1-AB0E-9669195E3143}"/>
    <cellStyle name="40% - Accent5 3 2 3 3 3" xfId="22314" xr:uid="{B6ADCF42-18D3-41C2-A85B-CF86D1FF1708}"/>
    <cellStyle name="40% - Accent5 3 2 3 4" xfId="9649" xr:uid="{13619B67-24F1-4518-A247-A78856796B6A}"/>
    <cellStyle name="40% - Accent5 3 2 3 5" xfId="18097" xr:uid="{02038769-0747-4B36-8452-32652CA8D58F}"/>
    <cellStyle name="40% - Accent5 3 2 4" xfId="1523" xr:uid="{00000000-0005-0000-0000-00009C060000}"/>
    <cellStyle name="40% - Accent5 3 2 4 2" xfId="3753" xr:uid="{00000000-0005-0000-0000-00009D060000}"/>
    <cellStyle name="40% - Accent5 3 2 4 2 2" xfId="7975" xr:uid="{00000000-0005-0000-0000-00009E060000}"/>
    <cellStyle name="40% - Accent5 3 2 4 2 2 2" xfId="16425" xr:uid="{9F669688-D0BE-41AD-9A3A-30A919D24D58}"/>
    <cellStyle name="40% - Accent5 3 2 4 2 2 3" xfId="24872" xr:uid="{6654037A-B451-4EF0-A8E1-DED9085FD3E3}"/>
    <cellStyle name="40% - Accent5 3 2 4 2 3" xfId="12207" xr:uid="{C82E7351-4BAF-4B53-B7EC-32C57B197F0D}"/>
    <cellStyle name="40% - Accent5 3 2 4 2 4" xfId="20655" xr:uid="{80BC8C71-3B39-4D7E-867C-DBB5F7E36796}"/>
    <cellStyle name="40% - Accent5 3 2 4 3" xfId="5830" xr:uid="{00000000-0005-0000-0000-00009F060000}"/>
    <cellStyle name="40% - Accent5 3 2 4 3 2" xfId="14280" xr:uid="{A362DDBD-7E25-4EB6-B689-9A2570C44339}"/>
    <cellStyle name="40% - Accent5 3 2 4 3 3" xfId="22727" xr:uid="{04C2C552-F124-46DE-ACB7-6E6FC9D0A09E}"/>
    <cellStyle name="40% - Accent5 3 2 4 4" xfId="10062" xr:uid="{04ACA8AF-D0AB-458F-9BA3-17673FC49950}"/>
    <cellStyle name="40% - Accent5 3 2 4 5" xfId="18510" xr:uid="{07E681E1-2C62-446B-AC2D-2ECAB0300D27}"/>
    <cellStyle name="40% - Accent5 3 2 5" xfId="1937" xr:uid="{00000000-0005-0000-0000-0000A0060000}"/>
    <cellStyle name="40% - Accent5 3 2 5 2" xfId="4166" xr:uid="{00000000-0005-0000-0000-0000A1060000}"/>
    <cellStyle name="40% - Accent5 3 2 5 2 2" xfId="8388" xr:uid="{00000000-0005-0000-0000-0000A2060000}"/>
    <cellStyle name="40% - Accent5 3 2 5 2 2 2" xfId="16838" xr:uid="{199B8ACC-CFC4-494B-8675-66EDA5A40683}"/>
    <cellStyle name="40% - Accent5 3 2 5 2 2 3" xfId="25285" xr:uid="{23FD801D-9482-4B7D-9195-13FBC594EF1B}"/>
    <cellStyle name="40% - Accent5 3 2 5 2 3" xfId="12620" xr:uid="{7018118E-7C1D-4F02-953F-FC028C04390F}"/>
    <cellStyle name="40% - Accent5 3 2 5 2 4" xfId="21068" xr:uid="{37A642DC-1C4A-41AA-9719-C1A71C087C53}"/>
    <cellStyle name="40% - Accent5 3 2 5 3" xfId="6243" xr:uid="{00000000-0005-0000-0000-0000A3060000}"/>
    <cellStyle name="40% - Accent5 3 2 5 3 2" xfId="14693" xr:uid="{D8FBCFCF-2A89-40F3-A514-6450692BDCE4}"/>
    <cellStyle name="40% - Accent5 3 2 5 3 3" xfId="23140" xr:uid="{FA2F457C-EEDA-4DBC-B98A-4198867B6397}"/>
    <cellStyle name="40% - Accent5 3 2 5 4" xfId="10475" xr:uid="{46D0A071-7C94-4007-AE27-A5A5DC11EE24}"/>
    <cellStyle name="40% - Accent5 3 2 5 5" xfId="18923" xr:uid="{13AF0D17-72CC-498F-92F0-E2E4BB1F83FE}"/>
    <cellStyle name="40% - Accent5 3 2 6" xfId="2350" xr:uid="{00000000-0005-0000-0000-0000A4060000}"/>
    <cellStyle name="40% - Accent5 3 2 6 2" xfId="6656" xr:uid="{00000000-0005-0000-0000-0000A5060000}"/>
    <cellStyle name="40% - Accent5 3 2 6 2 2" xfId="15106" xr:uid="{84A98EC4-8B6F-4BFE-962C-D42CAF746681}"/>
    <cellStyle name="40% - Accent5 3 2 6 2 3" xfId="23553" xr:uid="{A996F982-2631-45C6-A768-DCF0CB49DB78}"/>
    <cellStyle name="40% - Accent5 3 2 6 3" xfId="10888" xr:uid="{2C656AAF-9247-40EB-9CF7-2CA732DAF03C}"/>
    <cellStyle name="40% - Accent5 3 2 6 4" xfId="19336" xr:uid="{6FEA0629-7DDA-4C30-92D5-8A28DA85161B}"/>
    <cellStyle name="40% - Accent5 3 2 7" xfId="4590" xr:uid="{00000000-0005-0000-0000-0000A6060000}"/>
    <cellStyle name="40% - Accent5 3 2 7 2" xfId="13040" xr:uid="{4AB94738-2421-4B9C-9A0E-02E8475A9B2C}"/>
    <cellStyle name="40% - Accent5 3 2 7 3" xfId="21487" xr:uid="{49BDFF2B-3417-472C-80E1-EAC305C7EAAE}"/>
    <cellStyle name="40% - Accent5 3 2 8" xfId="8822" xr:uid="{2C9DD4B4-794E-4044-BCD0-3E4817255709}"/>
    <cellStyle name="40% - Accent5 3 2 9" xfId="17270" xr:uid="{F7545244-0899-44FB-AFCC-894AC0182D00}"/>
    <cellStyle name="40% - Accent5 3 3" xfId="655" xr:uid="{00000000-0005-0000-0000-0000A7060000}"/>
    <cellStyle name="40% - Accent5 3 3 2" xfId="2926" xr:uid="{00000000-0005-0000-0000-0000A8060000}"/>
    <cellStyle name="40% - Accent5 3 3 2 2" xfId="7148" xr:uid="{00000000-0005-0000-0000-0000A9060000}"/>
    <cellStyle name="40% - Accent5 3 3 2 2 2" xfId="15598" xr:uid="{5D7E81C4-81F8-4B30-8F0E-3EB543870A06}"/>
    <cellStyle name="40% - Accent5 3 3 2 2 3" xfId="24045" xr:uid="{FE0D3DEE-CF6D-4B4E-83AF-1F4FC1461493}"/>
    <cellStyle name="40% - Accent5 3 3 2 3" xfId="11380" xr:uid="{D9DD6E13-A6C0-4D52-81CB-82D271575986}"/>
    <cellStyle name="40% - Accent5 3 3 2 4" xfId="19828" xr:uid="{8D046597-DEDE-47AA-8FA6-5238FC9E9E72}"/>
    <cellStyle name="40% - Accent5 3 3 3" xfId="5003" xr:uid="{00000000-0005-0000-0000-0000AA060000}"/>
    <cellStyle name="40% - Accent5 3 3 3 2" xfId="13453" xr:uid="{997ABA92-7157-492D-96DF-C4DE2859257B}"/>
    <cellStyle name="40% - Accent5 3 3 3 3" xfId="21900" xr:uid="{B34B280E-4351-411B-889F-D5E852B607BA}"/>
    <cellStyle name="40% - Accent5 3 3 4" xfId="9235" xr:uid="{2774434D-35B2-4F24-811E-6FB283AFD2D4}"/>
    <cellStyle name="40% - Accent5 3 3 5" xfId="17683" xr:uid="{58C394D7-61E8-4E65-B56E-870919FCB79F}"/>
    <cellStyle name="40% - Accent5 3 4" xfId="1108" xr:uid="{00000000-0005-0000-0000-0000AB060000}"/>
    <cellStyle name="40% - Accent5 3 4 2" xfId="3339" xr:uid="{00000000-0005-0000-0000-0000AC060000}"/>
    <cellStyle name="40% - Accent5 3 4 2 2" xfId="7561" xr:uid="{00000000-0005-0000-0000-0000AD060000}"/>
    <cellStyle name="40% - Accent5 3 4 2 2 2" xfId="16011" xr:uid="{7043E841-3BC1-4940-9C41-21A00FF302D9}"/>
    <cellStyle name="40% - Accent5 3 4 2 2 3" xfId="24458" xr:uid="{6AB520F6-734B-4D9E-9C5F-44391A0B467F}"/>
    <cellStyle name="40% - Accent5 3 4 2 3" xfId="11793" xr:uid="{AE2456D8-8E70-4FA9-8AAC-E12D32DDF819}"/>
    <cellStyle name="40% - Accent5 3 4 2 4" xfId="20241" xr:uid="{E4D13BC4-7E48-41A1-97A2-0A8D01C8A03F}"/>
    <cellStyle name="40% - Accent5 3 4 3" xfId="5416" xr:uid="{00000000-0005-0000-0000-0000AE060000}"/>
    <cellStyle name="40% - Accent5 3 4 3 2" xfId="13866" xr:uid="{65FCE02A-F04B-434A-A965-6FEB9EAC381F}"/>
    <cellStyle name="40% - Accent5 3 4 3 3" xfId="22313" xr:uid="{92118028-2230-4733-ABD4-6CEB1BC1C6EB}"/>
    <cellStyle name="40% - Accent5 3 4 4" xfId="9648" xr:uid="{437404C7-AD39-4317-9564-3C77D2503EB3}"/>
    <cellStyle name="40% - Accent5 3 4 5" xfId="18096" xr:uid="{FA15FC14-570C-4F9F-9A56-8F088F63BAB3}"/>
    <cellStyle name="40% - Accent5 3 5" xfId="1522" xr:uid="{00000000-0005-0000-0000-0000AF060000}"/>
    <cellStyle name="40% - Accent5 3 5 2" xfId="3752" xr:uid="{00000000-0005-0000-0000-0000B0060000}"/>
    <cellStyle name="40% - Accent5 3 5 2 2" xfId="7974" xr:uid="{00000000-0005-0000-0000-0000B1060000}"/>
    <cellStyle name="40% - Accent5 3 5 2 2 2" xfId="16424" xr:uid="{A22161FE-341B-44DA-B080-CF069DD18C81}"/>
    <cellStyle name="40% - Accent5 3 5 2 2 3" xfId="24871" xr:uid="{4009A67D-6A7B-40A3-A138-0714198F0F11}"/>
    <cellStyle name="40% - Accent5 3 5 2 3" xfId="12206" xr:uid="{BFF27903-87FB-4F87-A644-0CC71605E0ED}"/>
    <cellStyle name="40% - Accent5 3 5 2 4" xfId="20654" xr:uid="{4DE87629-8AE4-4B20-B957-3D1D820512AA}"/>
    <cellStyle name="40% - Accent5 3 5 3" xfId="5829" xr:uid="{00000000-0005-0000-0000-0000B2060000}"/>
    <cellStyle name="40% - Accent5 3 5 3 2" xfId="14279" xr:uid="{1E56F943-F8F8-4E73-A1DF-A609FEA4B6C3}"/>
    <cellStyle name="40% - Accent5 3 5 3 3" xfId="22726" xr:uid="{BBEE21A3-3ED6-4DF7-B06E-6371382F3A18}"/>
    <cellStyle name="40% - Accent5 3 5 4" xfId="10061" xr:uid="{616519C2-6DB5-4A6B-82DB-119DFD946DE2}"/>
    <cellStyle name="40% - Accent5 3 5 5" xfId="18509" xr:uid="{84A7A2EA-016D-4807-835A-8BB4F5D7AB34}"/>
    <cellStyle name="40% - Accent5 3 6" xfId="1936" xr:uid="{00000000-0005-0000-0000-0000B3060000}"/>
    <cellStyle name="40% - Accent5 3 6 2" xfId="4165" xr:uid="{00000000-0005-0000-0000-0000B4060000}"/>
    <cellStyle name="40% - Accent5 3 6 2 2" xfId="8387" xr:uid="{00000000-0005-0000-0000-0000B5060000}"/>
    <cellStyle name="40% - Accent5 3 6 2 2 2" xfId="16837" xr:uid="{7EAB4FA6-E971-4083-8ED3-4125E732EF1A}"/>
    <cellStyle name="40% - Accent5 3 6 2 2 3" xfId="25284" xr:uid="{A2153335-BA53-4B2D-9B72-73535BE559B4}"/>
    <cellStyle name="40% - Accent5 3 6 2 3" xfId="12619" xr:uid="{02E25BC1-2FF4-4796-9406-AF15A9144448}"/>
    <cellStyle name="40% - Accent5 3 6 2 4" xfId="21067" xr:uid="{3E51C1F1-C69F-4E61-9C77-6A71E38608BC}"/>
    <cellStyle name="40% - Accent5 3 6 3" xfId="6242" xr:uid="{00000000-0005-0000-0000-0000B6060000}"/>
    <cellStyle name="40% - Accent5 3 6 3 2" xfId="14692" xr:uid="{A162A4A7-E5F0-4E80-95CE-E7A259DBCA0B}"/>
    <cellStyle name="40% - Accent5 3 6 3 3" xfId="23139" xr:uid="{7263B0DB-FC58-4496-B23A-3F43A3C5241B}"/>
    <cellStyle name="40% - Accent5 3 6 4" xfId="10474" xr:uid="{2FA7C58E-3065-4E5C-9505-8B47712D51E7}"/>
    <cellStyle name="40% - Accent5 3 6 5" xfId="18922" xr:uid="{0320D8F9-F070-40C8-A827-AED8D8E58B1C}"/>
    <cellStyle name="40% - Accent5 3 7" xfId="2349" xr:uid="{00000000-0005-0000-0000-0000B7060000}"/>
    <cellStyle name="40% - Accent5 3 7 2" xfId="6655" xr:uid="{00000000-0005-0000-0000-0000B8060000}"/>
    <cellStyle name="40% - Accent5 3 7 2 2" xfId="15105" xr:uid="{AB5CBA4C-A317-484B-99C0-6299069F8CAF}"/>
    <cellStyle name="40% - Accent5 3 7 2 3" xfId="23552" xr:uid="{79D913C4-1F33-4CCD-BAD3-6685C70C6DEB}"/>
    <cellStyle name="40% - Accent5 3 7 3" xfId="10887" xr:uid="{E715EABC-1777-424F-89F2-E1F1CF64D4C6}"/>
    <cellStyle name="40% - Accent5 3 7 4" xfId="19335" xr:uid="{BB3398A8-8A6B-4C71-AE22-3AB0D1E33929}"/>
    <cellStyle name="40% - Accent5 3 8" xfId="4589" xr:uid="{00000000-0005-0000-0000-0000B9060000}"/>
    <cellStyle name="40% - Accent5 3 8 2" xfId="13039" xr:uid="{F42329EF-351F-4E0D-A8E6-5CCDC8AF5877}"/>
    <cellStyle name="40% - Accent5 3 8 3" xfId="21486" xr:uid="{FF010F49-FBCD-4ECF-8E21-DB0845589DDA}"/>
    <cellStyle name="40% - Accent5 3 9" xfId="8821" xr:uid="{D482AD68-20B1-40E2-8E24-CA3254916129}"/>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2 2 2" xfId="15600" xr:uid="{448B214B-0399-419E-B225-6E7D22D62502}"/>
    <cellStyle name="40% - Accent5 4 2 2 2 3" xfId="24047" xr:uid="{30DDC3CD-40BA-4C21-9F68-CA488EF1361F}"/>
    <cellStyle name="40% - Accent5 4 2 2 3" xfId="11382" xr:uid="{D006B502-CF8F-4542-BCC8-18EFB2A65448}"/>
    <cellStyle name="40% - Accent5 4 2 2 4" xfId="19830" xr:uid="{DFCEE9E0-9B25-43B3-AC39-4C6FC6E91ECA}"/>
    <cellStyle name="40% - Accent5 4 2 3" xfId="5005" xr:uid="{00000000-0005-0000-0000-0000BE060000}"/>
    <cellStyle name="40% - Accent5 4 2 3 2" xfId="13455" xr:uid="{70E125C0-C8CA-4A47-BDC2-6160A69BA378}"/>
    <cellStyle name="40% - Accent5 4 2 3 3" xfId="21902" xr:uid="{193B516C-935E-4786-B1E9-9240DAEC255F}"/>
    <cellStyle name="40% - Accent5 4 2 4" xfId="9237" xr:uid="{37D658E1-EB93-457F-A68D-F982C15B1817}"/>
    <cellStyle name="40% - Accent5 4 2 5" xfId="17685" xr:uid="{D691AD88-9217-4E08-90F5-DE3394204325}"/>
    <cellStyle name="40% - Accent5 4 3" xfId="1110" xr:uid="{00000000-0005-0000-0000-0000BF060000}"/>
    <cellStyle name="40% - Accent5 4 3 2" xfId="3341" xr:uid="{00000000-0005-0000-0000-0000C0060000}"/>
    <cellStyle name="40% - Accent5 4 3 2 2" xfId="7563" xr:uid="{00000000-0005-0000-0000-0000C1060000}"/>
    <cellStyle name="40% - Accent5 4 3 2 2 2" xfId="16013" xr:uid="{24FDEF08-A297-4B39-89B1-FD175F8B3A5C}"/>
    <cellStyle name="40% - Accent5 4 3 2 2 3" xfId="24460" xr:uid="{CB07C283-593D-4764-976F-A60E3476220B}"/>
    <cellStyle name="40% - Accent5 4 3 2 3" xfId="11795" xr:uid="{018DD307-6430-4E4D-A7B0-4103E75A9F5D}"/>
    <cellStyle name="40% - Accent5 4 3 2 4" xfId="20243" xr:uid="{5390A240-5059-4048-A462-79F8935ED82E}"/>
    <cellStyle name="40% - Accent5 4 3 3" xfId="5418" xr:uid="{00000000-0005-0000-0000-0000C2060000}"/>
    <cellStyle name="40% - Accent5 4 3 3 2" xfId="13868" xr:uid="{8837C4B5-354D-4946-A128-0CE4C793487A}"/>
    <cellStyle name="40% - Accent5 4 3 3 3" xfId="22315" xr:uid="{E88D86CD-9E52-4F1E-9E4F-2BE95379F404}"/>
    <cellStyle name="40% - Accent5 4 3 4" xfId="9650" xr:uid="{5310CE8D-EDDD-42B8-9B16-F77C3417F041}"/>
    <cellStyle name="40% - Accent5 4 3 5" xfId="18098" xr:uid="{17D896BA-3DF0-4281-9CB8-5BE1143C1C9D}"/>
    <cellStyle name="40% - Accent5 4 4" xfId="1524" xr:uid="{00000000-0005-0000-0000-0000C3060000}"/>
    <cellStyle name="40% - Accent5 4 4 2" xfId="3754" xr:uid="{00000000-0005-0000-0000-0000C4060000}"/>
    <cellStyle name="40% - Accent5 4 4 2 2" xfId="7976" xr:uid="{00000000-0005-0000-0000-0000C5060000}"/>
    <cellStyle name="40% - Accent5 4 4 2 2 2" xfId="16426" xr:uid="{FE01BAB7-666A-49ED-9683-D7437D152F9A}"/>
    <cellStyle name="40% - Accent5 4 4 2 2 3" xfId="24873" xr:uid="{B7D1D4E4-36F7-401F-A445-B8BB2FA55392}"/>
    <cellStyle name="40% - Accent5 4 4 2 3" xfId="12208" xr:uid="{D439000F-0CD1-4001-AFF6-13874CA055DE}"/>
    <cellStyle name="40% - Accent5 4 4 2 4" xfId="20656" xr:uid="{41D1F459-5ED2-45EE-99A8-8726279E1751}"/>
    <cellStyle name="40% - Accent5 4 4 3" xfId="5831" xr:uid="{00000000-0005-0000-0000-0000C6060000}"/>
    <cellStyle name="40% - Accent5 4 4 3 2" xfId="14281" xr:uid="{8DEFF6E6-EE9D-4A99-98C0-D8ECF2A8605A}"/>
    <cellStyle name="40% - Accent5 4 4 3 3" xfId="22728" xr:uid="{D2953076-D6BB-4901-A9B7-875F4F511B17}"/>
    <cellStyle name="40% - Accent5 4 4 4" xfId="10063" xr:uid="{BDFE5866-CF52-4146-B7EB-770024B0A5CD}"/>
    <cellStyle name="40% - Accent5 4 4 5" xfId="18511" xr:uid="{A27124E6-952E-4E68-BE30-3C7F561EFCF3}"/>
    <cellStyle name="40% - Accent5 4 5" xfId="1938" xr:uid="{00000000-0005-0000-0000-0000C7060000}"/>
    <cellStyle name="40% - Accent5 4 5 2" xfId="4167" xr:uid="{00000000-0005-0000-0000-0000C8060000}"/>
    <cellStyle name="40% - Accent5 4 5 2 2" xfId="8389" xr:uid="{00000000-0005-0000-0000-0000C9060000}"/>
    <cellStyle name="40% - Accent5 4 5 2 2 2" xfId="16839" xr:uid="{FC49CF5E-CAC7-43C7-9FE5-4C7C9B0C7A44}"/>
    <cellStyle name="40% - Accent5 4 5 2 2 3" xfId="25286" xr:uid="{271D5C1C-50C0-470F-9553-487C3C25611C}"/>
    <cellStyle name="40% - Accent5 4 5 2 3" xfId="12621" xr:uid="{1D9661FE-669F-421D-A0A0-9CCAAC4C012F}"/>
    <cellStyle name="40% - Accent5 4 5 2 4" xfId="21069" xr:uid="{7AE8CBB9-E928-4531-9E85-70B0B3D97A6B}"/>
    <cellStyle name="40% - Accent5 4 5 3" xfId="6244" xr:uid="{00000000-0005-0000-0000-0000CA060000}"/>
    <cellStyle name="40% - Accent5 4 5 3 2" xfId="14694" xr:uid="{7142F096-361C-4E71-9D78-7878BE3535E9}"/>
    <cellStyle name="40% - Accent5 4 5 3 3" xfId="23141" xr:uid="{59BFB55E-DADF-4899-A1FD-842A060EB573}"/>
    <cellStyle name="40% - Accent5 4 5 4" xfId="10476" xr:uid="{BED6CC69-389B-4832-A162-717B8B6D32ED}"/>
    <cellStyle name="40% - Accent5 4 5 5" xfId="18924" xr:uid="{034BB2EA-E3B9-40C3-BEB2-8862CF31F623}"/>
    <cellStyle name="40% - Accent5 4 6" xfId="2351" xr:uid="{00000000-0005-0000-0000-0000CB060000}"/>
    <cellStyle name="40% - Accent5 4 6 2" xfId="6657" xr:uid="{00000000-0005-0000-0000-0000CC060000}"/>
    <cellStyle name="40% - Accent5 4 6 2 2" xfId="15107" xr:uid="{02A59A02-1A1F-485B-B394-3AA84A4952E8}"/>
    <cellStyle name="40% - Accent5 4 6 2 3" xfId="23554" xr:uid="{EAD1C732-767F-44A3-8C0B-F47DE073CD9E}"/>
    <cellStyle name="40% - Accent5 4 6 3" xfId="10889" xr:uid="{B5F54ABB-32CD-4E16-A886-12C3AFD3E7B1}"/>
    <cellStyle name="40% - Accent5 4 6 4" xfId="19337" xr:uid="{602FC6A0-8333-4334-B65B-FAD11826F9E2}"/>
    <cellStyle name="40% - Accent5 4 7" xfId="4591" xr:uid="{00000000-0005-0000-0000-0000CD060000}"/>
    <cellStyle name="40% - Accent5 4 7 2" xfId="13041" xr:uid="{DFACE1DC-BB36-4C69-BD5E-8C00540CCB68}"/>
    <cellStyle name="40% - Accent5 4 7 3" xfId="21488" xr:uid="{877A85B8-CDB8-4F0A-A936-FE1728FDD64C}"/>
    <cellStyle name="40% - Accent5 4 8" xfId="8823" xr:uid="{5452A0FF-EF02-458E-A742-3CB0158D1E8A}"/>
    <cellStyle name="40% - Accent5 4 9" xfId="17271" xr:uid="{3CC9D7CC-1C7B-48DC-BC00-60DFEE382FDB}"/>
    <cellStyle name="40% - Accent5 5" xfId="650" xr:uid="{00000000-0005-0000-0000-0000CE060000}"/>
    <cellStyle name="40% - Accent5 5 2" xfId="2921" xr:uid="{00000000-0005-0000-0000-0000CF060000}"/>
    <cellStyle name="40% - Accent5 5 2 2" xfId="7143" xr:uid="{00000000-0005-0000-0000-0000D0060000}"/>
    <cellStyle name="40% - Accent5 5 2 2 2" xfId="15593" xr:uid="{FD9CAF7F-9EF0-41E8-A987-3E8D64190BDB}"/>
    <cellStyle name="40% - Accent5 5 2 2 3" xfId="24040" xr:uid="{86D79783-5518-4399-998F-7D5EA2828772}"/>
    <cellStyle name="40% - Accent5 5 2 3" xfId="11375" xr:uid="{3C9D1DA2-6E1B-4F77-9538-828482DE7C9F}"/>
    <cellStyle name="40% - Accent5 5 2 4" xfId="19823" xr:uid="{6800E2D5-9FFB-4D24-8F34-83C936F3E5F2}"/>
    <cellStyle name="40% - Accent5 5 3" xfId="4998" xr:uid="{00000000-0005-0000-0000-0000D1060000}"/>
    <cellStyle name="40% - Accent5 5 3 2" xfId="13448" xr:uid="{CC5FFD24-0DD4-4E7C-B16B-89D4A3CCE8B7}"/>
    <cellStyle name="40% - Accent5 5 3 3" xfId="21895" xr:uid="{3B21B4D1-9F60-41A4-8214-C6E7833109DE}"/>
    <cellStyle name="40% - Accent5 5 4" xfId="9230" xr:uid="{E93DCCD8-AA7C-441E-BD74-763743C40B6A}"/>
    <cellStyle name="40% - Accent5 5 5" xfId="17678" xr:uid="{4459DDC9-D40A-470C-AF94-C692F61C89FF}"/>
    <cellStyle name="40% - Accent5 6" xfId="1103" xr:uid="{00000000-0005-0000-0000-0000D2060000}"/>
    <cellStyle name="40% - Accent5 6 2" xfId="3334" xr:uid="{00000000-0005-0000-0000-0000D3060000}"/>
    <cellStyle name="40% - Accent5 6 2 2" xfId="7556" xr:uid="{00000000-0005-0000-0000-0000D4060000}"/>
    <cellStyle name="40% - Accent5 6 2 2 2" xfId="16006" xr:uid="{C7AB4AAA-94D5-4596-B1CD-0E2AD2FFAA6F}"/>
    <cellStyle name="40% - Accent5 6 2 2 3" xfId="24453" xr:uid="{19758F8F-AAD7-404C-87FD-8484BC7200BD}"/>
    <cellStyle name="40% - Accent5 6 2 3" xfId="11788" xr:uid="{44B32485-C511-4535-BCA0-55C6F8DD3C6A}"/>
    <cellStyle name="40% - Accent5 6 2 4" xfId="20236" xr:uid="{0CBA40E0-75BF-457F-9AA4-6E1077320E2F}"/>
    <cellStyle name="40% - Accent5 6 3" xfId="5411" xr:uid="{00000000-0005-0000-0000-0000D5060000}"/>
    <cellStyle name="40% - Accent5 6 3 2" xfId="13861" xr:uid="{6D40FFF4-6B38-490B-8537-9B4249D17345}"/>
    <cellStyle name="40% - Accent5 6 3 3" xfId="22308" xr:uid="{1EFF6004-49DF-4730-A232-56549568EE6E}"/>
    <cellStyle name="40% - Accent5 6 4" xfId="9643" xr:uid="{5F566235-23D6-4E98-84AA-FB7B4C7FAE73}"/>
    <cellStyle name="40% - Accent5 6 5" xfId="18091" xr:uid="{2F4C4C2E-C849-44CD-9F89-2CCF1BEE23B4}"/>
    <cellStyle name="40% - Accent5 7" xfId="1517" xr:uid="{00000000-0005-0000-0000-0000D6060000}"/>
    <cellStyle name="40% - Accent5 7 2" xfId="3747" xr:uid="{00000000-0005-0000-0000-0000D7060000}"/>
    <cellStyle name="40% - Accent5 7 2 2" xfId="7969" xr:uid="{00000000-0005-0000-0000-0000D8060000}"/>
    <cellStyle name="40% - Accent5 7 2 2 2" xfId="16419" xr:uid="{F660D726-9463-4CDE-8504-1CA94C31899D}"/>
    <cellStyle name="40% - Accent5 7 2 2 3" xfId="24866" xr:uid="{ADEF8DB6-2A9A-4231-839A-7512EEFEFAD8}"/>
    <cellStyle name="40% - Accent5 7 2 3" xfId="12201" xr:uid="{B439D8B2-A0C8-4CB3-ABE6-249D07410D13}"/>
    <cellStyle name="40% - Accent5 7 2 4" xfId="20649" xr:uid="{46F4B6C5-71E8-4CA1-92B5-DF6EC8492044}"/>
    <cellStyle name="40% - Accent5 7 3" xfId="5824" xr:uid="{00000000-0005-0000-0000-0000D9060000}"/>
    <cellStyle name="40% - Accent5 7 3 2" xfId="14274" xr:uid="{785826D6-D66B-48DB-901B-84BC03EF1B68}"/>
    <cellStyle name="40% - Accent5 7 3 3" xfId="22721" xr:uid="{6970DCCD-DB1C-428E-B285-34A7A0FBBCBC}"/>
    <cellStyle name="40% - Accent5 7 4" xfId="10056" xr:uid="{65AEC7E4-CA51-4274-9766-74B190448085}"/>
    <cellStyle name="40% - Accent5 7 5" xfId="18504" xr:uid="{B9A92D2F-3D73-47CB-A56F-68A3A09089F7}"/>
    <cellStyle name="40% - Accent5 8" xfId="1931" xr:uid="{00000000-0005-0000-0000-0000DA060000}"/>
    <cellStyle name="40% - Accent5 8 2" xfId="4160" xr:uid="{00000000-0005-0000-0000-0000DB060000}"/>
    <cellStyle name="40% - Accent5 8 2 2" xfId="8382" xr:uid="{00000000-0005-0000-0000-0000DC060000}"/>
    <cellStyle name="40% - Accent5 8 2 2 2" xfId="16832" xr:uid="{9C5DE898-81B1-4FF6-A192-B725BD144187}"/>
    <cellStyle name="40% - Accent5 8 2 2 3" xfId="25279" xr:uid="{589E0F9A-56FD-4BAE-993A-8E346B64769A}"/>
    <cellStyle name="40% - Accent5 8 2 3" xfId="12614" xr:uid="{CB6561A0-4CDE-4A6E-9B58-A981FD798FEA}"/>
    <cellStyle name="40% - Accent5 8 2 4" xfId="21062" xr:uid="{F396035C-3B01-46DD-92BA-4B70076CC91A}"/>
    <cellStyle name="40% - Accent5 8 3" xfId="6237" xr:uid="{00000000-0005-0000-0000-0000DD060000}"/>
    <cellStyle name="40% - Accent5 8 3 2" xfId="14687" xr:uid="{55A56046-8CCA-4040-B6FF-8DC6723D90FC}"/>
    <cellStyle name="40% - Accent5 8 3 3" xfId="23134" xr:uid="{B2B1BB9E-1C8D-4777-B5D4-7BC991783A9C}"/>
    <cellStyle name="40% - Accent5 8 4" xfId="10469" xr:uid="{7D61AF21-0337-4D3C-A2F5-E1D28A50072C}"/>
    <cellStyle name="40% - Accent5 8 5" xfId="18917" xr:uid="{6C6C01B4-FAF6-45A9-A549-C6647AC4FF01}"/>
    <cellStyle name="40% - Accent5 9" xfId="2344" xr:uid="{00000000-0005-0000-0000-0000DE060000}"/>
    <cellStyle name="40% - Accent5 9 2" xfId="6650" xr:uid="{00000000-0005-0000-0000-0000DF060000}"/>
    <cellStyle name="40% - Accent5 9 2 2" xfId="15100" xr:uid="{93B9F90C-DD70-4937-913C-96664A5011AE}"/>
    <cellStyle name="40% - Accent5 9 2 3" xfId="23547" xr:uid="{6CB9EB2D-F89D-4DC3-8A50-690155A55743}"/>
    <cellStyle name="40% - Accent5 9 3" xfId="10882" xr:uid="{82718E0E-4204-41C2-9D4F-5B99519D4B18}"/>
    <cellStyle name="40% - Accent5 9 4" xfId="19330" xr:uid="{33A28CD9-C867-4523-B7E6-85013E1CB8EE}"/>
    <cellStyle name="40% - Accent6" xfId="89" builtinId="51" customBuiltin="1"/>
    <cellStyle name="40% - Accent6 10" xfId="4592" xr:uid="{00000000-0005-0000-0000-0000E1060000}"/>
    <cellStyle name="40% - Accent6 10 2" xfId="13042" xr:uid="{9EE03EF1-1575-4ADE-9354-2913D0DF4FBA}"/>
    <cellStyle name="40% - Accent6 10 3" xfId="21489" xr:uid="{ECE422B2-B242-4E62-A762-E08B888741D1}"/>
    <cellStyle name="40% - Accent6 11" xfId="8824" xr:uid="{12924C88-3CA4-4223-8F37-BD7E81BD902C}"/>
    <cellStyle name="40% - Accent6 12" xfId="17272" xr:uid="{57AD4D01-F79C-4AF8-9CC4-AC8DCEC7D128}"/>
    <cellStyle name="40% - Accent6 2" xfId="90" xr:uid="{00000000-0005-0000-0000-0000E2060000}"/>
    <cellStyle name="40% - Accent6 2 10" xfId="8825" xr:uid="{064AAE0A-99FF-4769-9726-B5372361FBFE}"/>
    <cellStyle name="40% - Accent6 2 11" xfId="17273" xr:uid="{9DCF678C-B1FA-4003-AFE6-F5BF5534AFBE}"/>
    <cellStyle name="40% - Accent6 2 2" xfId="91" xr:uid="{00000000-0005-0000-0000-0000E3060000}"/>
    <cellStyle name="40% - Accent6 2 2 10" xfId="17274" xr:uid="{8C927390-D4DA-4CC2-88EC-D38EBAA570C1}"/>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2 2 2" xfId="15604" xr:uid="{15C0018C-0A7A-4A4B-81CB-118BC91CFDE2}"/>
    <cellStyle name="40% - Accent6 2 2 2 2 2 2 3" xfId="24051" xr:uid="{BDC2A482-D941-4443-9DB9-5E956E70209A}"/>
    <cellStyle name="40% - Accent6 2 2 2 2 2 3" xfId="11386" xr:uid="{FADBF011-80F0-4934-82FB-E5326CFCF553}"/>
    <cellStyle name="40% - Accent6 2 2 2 2 2 4" xfId="19834" xr:uid="{F1C4DD2A-15A1-45BB-9CD1-C594EF398CBF}"/>
    <cellStyle name="40% - Accent6 2 2 2 2 3" xfId="5009" xr:uid="{00000000-0005-0000-0000-0000E8060000}"/>
    <cellStyle name="40% - Accent6 2 2 2 2 3 2" xfId="13459" xr:uid="{C4F112FA-D2DF-4B4E-B860-B6511B340C48}"/>
    <cellStyle name="40% - Accent6 2 2 2 2 3 3" xfId="21906" xr:uid="{634B3F97-9BB0-408D-B30C-6FFD1EDCD495}"/>
    <cellStyle name="40% - Accent6 2 2 2 2 4" xfId="9241" xr:uid="{61D1FABA-1BEA-495D-A4B3-4A29E040E18B}"/>
    <cellStyle name="40% - Accent6 2 2 2 2 5" xfId="17689" xr:uid="{BD16060B-DFF6-4A24-8946-7D21BA699DDC}"/>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2 2 2" xfId="16017" xr:uid="{25F2A3D2-3D97-462D-B418-3EAFB5648A71}"/>
    <cellStyle name="40% - Accent6 2 2 2 3 2 2 3" xfId="24464" xr:uid="{798048BC-4152-4712-AADF-00A2F66F4576}"/>
    <cellStyle name="40% - Accent6 2 2 2 3 2 3" xfId="11799" xr:uid="{D2C56D16-E7ED-45C3-8050-C357D83CF8FA}"/>
    <cellStyle name="40% - Accent6 2 2 2 3 2 4" xfId="20247" xr:uid="{86E4F691-7E8B-423A-BFD5-380FEC3B35F6}"/>
    <cellStyle name="40% - Accent6 2 2 2 3 3" xfId="5422" xr:uid="{00000000-0005-0000-0000-0000EC060000}"/>
    <cellStyle name="40% - Accent6 2 2 2 3 3 2" xfId="13872" xr:uid="{DD195D08-C56B-4C18-84C7-E978FE076AA0}"/>
    <cellStyle name="40% - Accent6 2 2 2 3 3 3" xfId="22319" xr:uid="{FFB890C3-A009-461D-A83D-6A5CFCC41D70}"/>
    <cellStyle name="40% - Accent6 2 2 2 3 4" xfId="9654" xr:uid="{F7996D24-6B05-440C-AE46-5D364B76A5F0}"/>
    <cellStyle name="40% - Accent6 2 2 2 3 5" xfId="18102" xr:uid="{2B2DEF8F-3C68-4728-8CEC-7576DFB7693C}"/>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2 2 2" xfId="16430" xr:uid="{AFB88072-96C5-44A0-90C3-41B7CAE87C4E}"/>
    <cellStyle name="40% - Accent6 2 2 2 4 2 2 3" xfId="24877" xr:uid="{A5A3BE2F-15EE-460E-ADD7-404AA79181C8}"/>
    <cellStyle name="40% - Accent6 2 2 2 4 2 3" xfId="12212" xr:uid="{3EF5C6A3-8FBB-4C63-8FD8-A918099EF408}"/>
    <cellStyle name="40% - Accent6 2 2 2 4 2 4" xfId="20660" xr:uid="{77FCD52B-264F-404D-8E4B-0849CF0C86BE}"/>
    <cellStyle name="40% - Accent6 2 2 2 4 3" xfId="5835" xr:uid="{00000000-0005-0000-0000-0000F0060000}"/>
    <cellStyle name="40% - Accent6 2 2 2 4 3 2" xfId="14285" xr:uid="{B19BABAB-C015-494B-B676-67B64754B857}"/>
    <cellStyle name="40% - Accent6 2 2 2 4 3 3" xfId="22732" xr:uid="{F82A342B-9397-4C8F-BE6C-8CFADD8F5FE0}"/>
    <cellStyle name="40% - Accent6 2 2 2 4 4" xfId="10067" xr:uid="{94DE2137-71E8-4CDC-B83D-BABAD4218B5C}"/>
    <cellStyle name="40% - Accent6 2 2 2 4 5" xfId="18515" xr:uid="{39717189-BBD4-4151-B9F0-50DFFCA26AF1}"/>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2 2 2" xfId="16843" xr:uid="{C16AEF91-3874-4B53-A278-460BB9C76660}"/>
    <cellStyle name="40% - Accent6 2 2 2 5 2 2 3" xfId="25290" xr:uid="{D4660E59-274D-44D1-BD86-C4ADEC4536FD}"/>
    <cellStyle name="40% - Accent6 2 2 2 5 2 3" xfId="12625" xr:uid="{F2CAA0EB-3456-44CC-9BF0-EB81778184B9}"/>
    <cellStyle name="40% - Accent6 2 2 2 5 2 4" xfId="21073" xr:uid="{E3A9042E-0738-4207-8347-2D3C904E0C75}"/>
    <cellStyle name="40% - Accent6 2 2 2 5 3" xfId="6248" xr:uid="{00000000-0005-0000-0000-0000F4060000}"/>
    <cellStyle name="40% - Accent6 2 2 2 5 3 2" xfId="14698" xr:uid="{B283EEA9-D6C3-4DAA-A15E-C8F629DF62B0}"/>
    <cellStyle name="40% - Accent6 2 2 2 5 3 3" xfId="23145" xr:uid="{48A261A8-8CA9-47A7-895B-0FB4C689AE89}"/>
    <cellStyle name="40% - Accent6 2 2 2 5 4" xfId="10480" xr:uid="{D76EE32B-E9C6-438B-A602-7E5F3D8D0A9E}"/>
    <cellStyle name="40% - Accent6 2 2 2 5 5" xfId="18928" xr:uid="{2552927B-AACE-4406-A425-82587AAFE376}"/>
    <cellStyle name="40% - Accent6 2 2 2 6" xfId="2355" xr:uid="{00000000-0005-0000-0000-0000F5060000}"/>
    <cellStyle name="40% - Accent6 2 2 2 6 2" xfId="6661" xr:uid="{00000000-0005-0000-0000-0000F6060000}"/>
    <cellStyle name="40% - Accent6 2 2 2 6 2 2" xfId="15111" xr:uid="{16B3941A-DB0C-4F79-8247-092D43E6BF5D}"/>
    <cellStyle name="40% - Accent6 2 2 2 6 2 3" xfId="23558" xr:uid="{DFD33623-A7CD-445F-B566-7C66B66C90C7}"/>
    <cellStyle name="40% - Accent6 2 2 2 6 3" xfId="10893" xr:uid="{D6E8A042-74F6-41FB-9D71-EE3D412E7733}"/>
    <cellStyle name="40% - Accent6 2 2 2 6 4" xfId="19341" xr:uid="{5B5AB6E8-4C0A-448F-8172-58156EEA631B}"/>
    <cellStyle name="40% - Accent6 2 2 2 7" xfId="4595" xr:uid="{00000000-0005-0000-0000-0000F7060000}"/>
    <cellStyle name="40% - Accent6 2 2 2 7 2" xfId="13045" xr:uid="{4EA49B23-B0C5-41F8-A42F-05FD86C71081}"/>
    <cellStyle name="40% - Accent6 2 2 2 7 3" xfId="21492" xr:uid="{E7EABD63-EEDE-49B2-AF43-AA09C41A97F6}"/>
    <cellStyle name="40% - Accent6 2 2 2 8" xfId="8827" xr:uid="{A021C96A-7A0B-4D6B-9CE6-20704BAA208D}"/>
    <cellStyle name="40% - Accent6 2 2 2 9" xfId="17275" xr:uid="{58D73BEB-7E7B-400F-A2FE-DA13BC2792B3}"/>
    <cellStyle name="40% - Accent6 2 2 3" xfId="660" xr:uid="{00000000-0005-0000-0000-0000F8060000}"/>
    <cellStyle name="40% - Accent6 2 2 3 2" xfId="2931" xr:uid="{00000000-0005-0000-0000-0000F9060000}"/>
    <cellStyle name="40% - Accent6 2 2 3 2 2" xfId="7153" xr:uid="{00000000-0005-0000-0000-0000FA060000}"/>
    <cellStyle name="40% - Accent6 2 2 3 2 2 2" xfId="15603" xr:uid="{E35432F6-F73B-44CD-B6A3-82CD583D611B}"/>
    <cellStyle name="40% - Accent6 2 2 3 2 2 3" xfId="24050" xr:uid="{836F8849-BA22-4738-AF30-9D1E88CDA636}"/>
    <cellStyle name="40% - Accent6 2 2 3 2 3" xfId="11385" xr:uid="{5557CF06-B787-475E-A6C8-190282468E14}"/>
    <cellStyle name="40% - Accent6 2 2 3 2 4" xfId="19833" xr:uid="{10563C77-3E99-41CE-95E4-908E4152D32E}"/>
    <cellStyle name="40% - Accent6 2 2 3 3" xfId="5008" xr:uid="{00000000-0005-0000-0000-0000FB060000}"/>
    <cellStyle name="40% - Accent6 2 2 3 3 2" xfId="13458" xr:uid="{F93A47A8-6205-4BB5-80E4-3944E4A9ABD0}"/>
    <cellStyle name="40% - Accent6 2 2 3 3 3" xfId="21905" xr:uid="{4D1424D4-2F7F-4E28-A0D5-A7474B83F849}"/>
    <cellStyle name="40% - Accent6 2 2 3 4" xfId="9240" xr:uid="{E896AD9B-0FD1-4214-A44F-3F61A8AF66D2}"/>
    <cellStyle name="40% - Accent6 2 2 3 5" xfId="17688" xr:uid="{3A3204F8-F0D1-4BA6-AF24-214CEBEEC547}"/>
    <cellStyle name="40% - Accent6 2 2 4" xfId="1113" xr:uid="{00000000-0005-0000-0000-0000FC060000}"/>
    <cellStyle name="40% - Accent6 2 2 4 2" xfId="3344" xr:uid="{00000000-0005-0000-0000-0000FD060000}"/>
    <cellStyle name="40% - Accent6 2 2 4 2 2" xfId="7566" xr:uid="{00000000-0005-0000-0000-0000FE060000}"/>
    <cellStyle name="40% - Accent6 2 2 4 2 2 2" xfId="16016" xr:uid="{5EBF2832-8FDF-405B-9D14-69E7364E11A0}"/>
    <cellStyle name="40% - Accent6 2 2 4 2 2 3" xfId="24463" xr:uid="{EC81A0B9-D073-484D-9D7E-BE7D8A9ECF71}"/>
    <cellStyle name="40% - Accent6 2 2 4 2 3" xfId="11798" xr:uid="{1A3EF7EC-37C4-4D89-A042-CC58F14AFC40}"/>
    <cellStyle name="40% - Accent6 2 2 4 2 4" xfId="20246" xr:uid="{85190ADA-7649-4B67-89A9-DB7166BAAEF8}"/>
    <cellStyle name="40% - Accent6 2 2 4 3" xfId="5421" xr:uid="{00000000-0005-0000-0000-0000FF060000}"/>
    <cellStyle name="40% - Accent6 2 2 4 3 2" xfId="13871" xr:uid="{6BDE6F7E-1B67-46FD-84C9-54668C51F540}"/>
    <cellStyle name="40% - Accent6 2 2 4 3 3" xfId="22318" xr:uid="{C63F18D5-9B7E-4AAE-8753-0709AE318BC8}"/>
    <cellStyle name="40% - Accent6 2 2 4 4" xfId="9653" xr:uid="{86ABACF2-AAB5-4C0F-AFF9-6473D64B23B7}"/>
    <cellStyle name="40% - Accent6 2 2 4 5" xfId="18101" xr:uid="{D42E0722-889D-4842-BB59-61A03F4E9746}"/>
    <cellStyle name="40% - Accent6 2 2 5" xfId="1527" xr:uid="{00000000-0005-0000-0000-000000070000}"/>
    <cellStyle name="40% - Accent6 2 2 5 2" xfId="3757" xr:uid="{00000000-0005-0000-0000-000001070000}"/>
    <cellStyle name="40% - Accent6 2 2 5 2 2" xfId="7979" xr:uid="{00000000-0005-0000-0000-000002070000}"/>
    <cellStyle name="40% - Accent6 2 2 5 2 2 2" xfId="16429" xr:uid="{1D8DB507-578A-45DA-9D05-B18DC88A742E}"/>
    <cellStyle name="40% - Accent6 2 2 5 2 2 3" xfId="24876" xr:uid="{642D6514-9E88-43F1-BBC5-DAE47A06D1F3}"/>
    <cellStyle name="40% - Accent6 2 2 5 2 3" xfId="12211" xr:uid="{5FDA01A1-B6E7-4E90-99BF-D3A627AAB13E}"/>
    <cellStyle name="40% - Accent6 2 2 5 2 4" xfId="20659" xr:uid="{E658B1AB-72E8-4B58-BD8D-D69B43DB5287}"/>
    <cellStyle name="40% - Accent6 2 2 5 3" xfId="5834" xr:uid="{00000000-0005-0000-0000-000003070000}"/>
    <cellStyle name="40% - Accent6 2 2 5 3 2" xfId="14284" xr:uid="{56E8B5D7-8FDF-44F8-BA94-9B3A07E550F0}"/>
    <cellStyle name="40% - Accent6 2 2 5 3 3" xfId="22731" xr:uid="{78A0A584-AA74-49B6-9BA0-5327222A7147}"/>
    <cellStyle name="40% - Accent6 2 2 5 4" xfId="10066" xr:uid="{C5D6705A-C7DB-4FC6-9F45-86C7481682C2}"/>
    <cellStyle name="40% - Accent6 2 2 5 5" xfId="18514" xr:uid="{A1A1221E-2341-4435-9FD6-2B18451AED3C}"/>
    <cellStyle name="40% - Accent6 2 2 6" xfId="1941" xr:uid="{00000000-0005-0000-0000-000004070000}"/>
    <cellStyle name="40% - Accent6 2 2 6 2" xfId="4170" xr:uid="{00000000-0005-0000-0000-000005070000}"/>
    <cellStyle name="40% - Accent6 2 2 6 2 2" xfId="8392" xr:uid="{00000000-0005-0000-0000-000006070000}"/>
    <cellStyle name="40% - Accent6 2 2 6 2 2 2" xfId="16842" xr:uid="{E3F7F62E-AAB3-4A7A-8797-A96AB6F81E71}"/>
    <cellStyle name="40% - Accent6 2 2 6 2 2 3" xfId="25289" xr:uid="{D264C6D2-DBF4-4A99-9FB6-A972ED1446D1}"/>
    <cellStyle name="40% - Accent6 2 2 6 2 3" xfId="12624" xr:uid="{E006D69C-F680-4B52-A6F9-31650F95D416}"/>
    <cellStyle name="40% - Accent6 2 2 6 2 4" xfId="21072" xr:uid="{750DC76C-D954-4B43-AD30-1638EABDC0B4}"/>
    <cellStyle name="40% - Accent6 2 2 6 3" xfId="6247" xr:uid="{00000000-0005-0000-0000-000007070000}"/>
    <cellStyle name="40% - Accent6 2 2 6 3 2" xfId="14697" xr:uid="{1E79DA1C-5A7B-4939-AEC3-D9C71685CF94}"/>
    <cellStyle name="40% - Accent6 2 2 6 3 3" xfId="23144" xr:uid="{07E17375-8303-4D27-AF2A-C41D00BC6302}"/>
    <cellStyle name="40% - Accent6 2 2 6 4" xfId="10479" xr:uid="{95F5B3EF-CC38-45B2-BC8E-A79DF22B8635}"/>
    <cellStyle name="40% - Accent6 2 2 6 5" xfId="18927" xr:uid="{80859266-E394-43F4-9C9D-7A0527D071E8}"/>
    <cellStyle name="40% - Accent6 2 2 7" xfId="2354" xr:uid="{00000000-0005-0000-0000-000008070000}"/>
    <cellStyle name="40% - Accent6 2 2 7 2" xfId="6660" xr:uid="{00000000-0005-0000-0000-000009070000}"/>
    <cellStyle name="40% - Accent6 2 2 7 2 2" xfId="15110" xr:uid="{1CDEEEB6-57D7-4621-9C5B-503D1853346A}"/>
    <cellStyle name="40% - Accent6 2 2 7 2 3" xfId="23557" xr:uid="{B915CBE4-BF4F-41E5-8E83-510BC72C7EE6}"/>
    <cellStyle name="40% - Accent6 2 2 7 3" xfId="10892" xr:uid="{865215A6-6475-4BC7-98E3-C146C992D9E7}"/>
    <cellStyle name="40% - Accent6 2 2 7 4" xfId="19340" xr:uid="{A022BF8D-7D96-42DD-A639-CD9BD168B6BF}"/>
    <cellStyle name="40% - Accent6 2 2 8" xfId="4594" xr:uid="{00000000-0005-0000-0000-00000A070000}"/>
    <cellStyle name="40% - Accent6 2 2 8 2" xfId="13044" xr:uid="{DA4230D5-33A2-4FD7-889E-3E2AD37EDA5E}"/>
    <cellStyle name="40% - Accent6 2 2 8 3" xfId="21491" xr:uid="{5007D156-5E10-4766-8241-03089DDC37CC}"/>
    <cellStyle name="40% - Accent6 2 2 9" xfId="8826" xr:uid="{DEC2F060-3BC4-40BA-B3FF-00C92B5DAE67}"/>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2 2 2" xfId="15605" xr:uid="{412FE7CB-4CE4-487F-9076-DABAA70DFAED}"/>
    <cellStyle name="40% - Accent6 2 3 2 2 2 3" xfId="24052" xr:uid="{F8DA4690-183F-4479-8D49-AA2DB56CF14A}"/>
    <cellStyle name="40% - Accent6 2 3 2 2 3" xfId="11387" xr:uid="{E44E5A67-7045-44C0-99D1-5F5DDD98F491}"/>
    <cellStyle name="40% - Accent6 2 3 2 2 4" xfId="19835" xr:uid="{1F053F5F-3ADC-4B7F-AA06-DC7C632972BC}"/>
    <cellStyle name="40% - Accent6 2 3 2 3" xfId="5010" xr:uid="{00000000-0005-0000-0000-00000F070000}"/>
    <cellStyle name="40% - Accent6 2 3 2 3 2" xfId="13460" xr:uid="{57379CA6-CEF9-4B7C-8E2F-322B116FB174}"/>
    <cellStyle name="40% - Accent6 2 3 2 3 3" xfId="21907" xr:uid="{8AE78681-AADD-4DC6-A1AD-77889C4B0D4F}"/>
    <cellStyle name="40% - Accent6 2 3 2 4" xfId="9242" xr:uid="{108400AF-E88A-415F-8409-7F5B30A4651C}"/>
    <cellStyle name="40% - Accent6 2 3 2 5" xfId="17690" xr:uid="{8D60DF84-BE45-4132-9345-DAD60F476A4A}"/>
    <cellStyle name="40% - Accent6 2 3 3" xfId="1115" xr:uid="{00000000-0005-0000-0000-000010070000}"/>
    <cellStyle name="40% - Accent6 2 3 3 2" xfId="3346" xr:uid="{00000000-0005-0000-0000-000011070000}"/>
    <cellStyle name="40% - Accent6 2 3 3 2 2" xfId="7568" xr:uid="{00000000-0005-0000-0000-000012070000}"/>
    <cellStyle name="40% - Accent6 2 3 3 2 2 2" xfId="16018" xr:uid="{AE626BB7-1FE0-4EA6-8A90-0FC41EAC9A8F}"/>
    <cellStyle name="40% - Accent6 2 3 3 2 2 3" xfId="24465" xr:uid="{F0B0787A-358E-4538-B1CF-7C0892169463}"/>
    <cellStyle name="40% - Accent6 2 3 3 2 3" xfId="11800" xr:uid="{65722D2F-4CA8-487A-A9E5-B536FEDDEC84}"/>
    <cellStyle name="40% - Accent6 2 3 3 2 4" xfId="20248" xr:uid="{EA6713D6-2C7E-4540-B6BB-25995BD1E465}"/>
    <cellStyle name="40% - Accent6 2 3 3 3" xfId="5423" xr:uid="{00000000-0005-0000-0000-000013070000}"/>
    <cellStyle name="40% - Accent6 2 3 3 3 2" xfId="13873" xr:uid="{30F97DF9-A09F-451E-97E9-43C37D904AB2}"/>
    <cellStyle name="40% - Accent6 2 3 3 3 3" xfId="22320" xr:uid="{A71CDF22-9E36-4BAE-B009-FEE92FF51B2D}"/>
    <cellStyle name="40% - Accent6 2 3 3 4" xfId="9655" xr:uid="{E0722CFC-1597-48C0-A735-9DD78E68CEEB}"/>
    <cellStyle name="40% - Accent6 2 3 3 5" xfId="18103" xr:uid="{A47D18A3-31F0-49D1-8784-398B213BB4C1}"/>
    <cellStyle name="40% - Accent6 2 3 4" xfId="1529" xr:uid="{00000000-0005-0000-0000-000014070000}"/>
    <cellStyle name="40% - Accent6 2 3 4 2" xfId="3759" xr:uid="{00000000-0005-0000-0000-000015070000}"/>
    <cellStyle name="40% - Accent6 2 3 4 2 2" xfId="7981" xr:uid="{00000000-0005-0000-0000-000016070000}"/>
    <cellStyle name="40% - Accent6 2 3 4 2 2 2" xfId="16431" xr:uid="{3F06FC77-1DC2-4021-8179-D4B08A72F527}"/>
    <cellStyle name="40% - Accent6 2 3 4 2 2 3" xfId="24878" xr:uid="{8A504AB7-49A7-4D88-A036-E71D2CD3D91B}"/>
    <cellStyle name="40% - Accent6 2 3 4 2 3" xfId="12213" xr:uid="{3D807D42-DD61-490C-A836-0C7CDAA4EB88}"/>
    <cellStyle name="40% - Accent6 2 3 4 2 4" xfId="20661" xr:uid="{C6795176-5ABB-4AC0-9B36-5662FF2AB223}"/>
    <cellStyle name="40% - Accent6 2 3 4 3" xfId="5836" xr:uid="{00000000-0005-0000-0000-000017070000}"/>
    <cellStyle name="40% - Accent6 2 3 4 3 2" xfId="14286" xr:uid="{26EFEAD6-876E-4629-B594-A621731A1538}"/>
    <cellStyle name="40% - Accent6 2 3 4 3 3" xfId="22733" xr:uid="{0CB5AB8D-6CD6-4414-AFCF-8DC14651BB0A}"/>
    <cellStyle name="40% - Accent6 2 3 4 4" xfId="10068" xr:uid="{0C7F57AB-A3AA-49E8-B30F-0BB8ACFE7A93}"/>
    <cellStyle name="40% - Accent6 2 3 4 5" xfId="18516" xr:uid="{E36C0FB0-ED28-4EE2-92E0-8D82447DEB3D}"/>
    <cellStyle name="40% - Accent6 2 3 5" xfId="1943" xr:uid="{00000000-0005-0000-0000-000018070000}"/>
    <cellStyle name="40% - Accent6 2 3 5 2" xfId="4172" xr:uid="{00000000-0005-0000-0000-000019070000}"/>
    <cellStyle name="40% - Accent6 2 3 5 2 2" xfId="8394" xr:uid="{00000000-0005-0000-0000-00001A070000}"/>
    <cellStyle name="40% - Accent6 2 3 5 2 2 2" xfId="16844" xr:uid="{508DEE01-4F7F-4E97-AB79-89EC2B08144B}"/>
    <cellStyle name="40% - Accent6 2 3 5 2 2 3" xfId="25291" xr:uid="{7FCA9ACA-7164-4A59-81D8-643129643A88}"/>
    <cellStyle name="40% - Accent6 2 3 5 2 3" xfId="12626" xr:uid="{EB5D423A-3C85-4595-B192-6124AA5CAC19}"/>
    <cellStyle name="40% - Accent6 2 3 5 2 4" xfId="21074" xr:uid="{BCFDFF4B-7E4C-4F76-991B-80A836ED1E98}"/>
    <cellStyle name="40% - Accent6 2 3 5 3" xfId="6249" xr:uid="{00000000-0005-0000-0000-00001B070000}"/>
    <cellStyle name="40% - Accent6 2 3 5 3 2" xfId="14699" xr:uid="{3B2676EC-E889-4B7D-88B6-4076F2A3A323}"/>
    <cellStyle name="40% - Accent6 2 3 5 3 3" xfId="23146" xr:uid="{D429E9C8-C3DF-4D77-AF70-12076658A789}"/>
    <cellStyle name="40% - Accent6 2 3 5 4" xfId="10481" xr:uid="{78A1089F-2162-4507-A050-C4D4C31E00D4}"/>
    <cellStyle name="40% - Accent6 2 3 5 5" xfId="18929" xr:uid="{48D1142D-59DC-46BC-9E73-9050D52BE02C}"/>
    <cellStyle name="40% - Accent6 2 3 6" xfId="2356" xr:uid="{00000000-0005-0000-0000-00001C070000}"/>
    <cellStyle name="40% - Accent6 2 3 6 2" xfId="6662" xr:uid="{00000000-0005-0000-0000-00001D070000}"/>
    <cellStyle name="40% - Accent6 2 3 6 2 2" xfId="15112" xr:uid="{863BDBFE-EE14-4318-BDA4-EF6BB8465A25}"/>
    <cellStyle name="40% - Accent6 2 3 6 2 3" xfId="23559" xr:uid="{0B4E62F0-313F-467A-BA11-EAABF3B6BD39}"/>
    <cellStyle name="40% - Accent6 2 3 6 3" xfId="10894" xr:uid="{E3D7C24E-F322-4554-B8AD-16357F85B759}"/>
    <cellStyle name="40% - Accent6 2 3 6 4" xfId="19342" xr:uid="{FF8F150D-A10F-4C79-98EE-EAFF2804D643}"/>
    <cellStyle name="40% - Accent6 2 3 7" xfId="4596" xr:uid="{00000000-0005-0000-0000-00001E070000}"/>
    <cellStyle name="40% - Accent6 2 3 7 2" xfId="13046" xr:uid="{BA5287B2-FCD6-4441-A520-DF014E71F793}"/>
    <cellStyle name="40% - Accent6 2 3 7 3" xfId="21493" xr:uid="{CD78AC3C-E18C-4801-9FE8-AEEA54597123}"/>
    <cellStyle name="40% - Accent6 2 3 8" xfId="8828" xr:uid="{5B32CE8D-AE58-47EB-A1B3-585A035DA58F}"/>
    <cellStyle name="40% - Accent6 2 3 9" xfId="17276" xr:uid="{AAF9BD7A-3F57-4FFC-9548-A5EDF78BC637}"/>
    <cellStyle name="40% - Accent6 2 4" xfId="659" xr:uid="{00000000-0005-0000-0000-00001F070000}"/>
    <cellStyle name="40% - Accent6 2 4 2" xfId="2930" xr:uid="{00000000-0005-0000-0000-000020070000}"/>
    <cellStyle name="40% - Accent6 2 4 2 2" xfId="7152" xr:uid="{00000000-0005-0000-0000-000021070000}"/>
    <cellStyle name="40% - Accent6 2 4 2 2 2" xfId="15602" xr:uid="{5CAA8762-0011-4A14-825E-000C48351B38}"/>
    <cellStyle name="40% - Accent6 2 4 2 2 3" xfId="24049" xr:uid="{AD3BB5E8-3F29-4CDD-A022-556A25E667A4}"/>
    <cellStyle name="40% - Accent6 2 4 2 3" xfId="11384" xr:uid="{A9C8B7ED-9F2F-4766-8DF4-7861A67069C4}"/>
    <cellStyle name="40% - Accent6 2 4 2 4" xfId="19832" xr:uid="{9967F691-0553-4C93-9617-5030DFFB4ACC}"/>
    <cellStyle name="40% - Accent6 2 4 3" xfId="5007" xr:uid="{00000000-0005-0000-0000-000022070000}"/>
    <cellStyle name="40% - Accent6 2 4 3 2" xfId="13457" xr:uid="{A22EE859-623B-4BF9-96D5-1241300DEC00}"/>
    <cellStyle name="40% - Accent6 2 4 3 3" xfId="21904" xr:uid="{9832AF17-5885-4E37-9A6B-BCEA75A59BB6}"/>
    <cellStyle name="40% - Accent6 2 4 4" xfId="9239" xr:uid="{303A2994-9E67-4C1A-AE6F-0E6661B9F009}"/>
    <cellStyle name="40% - Accent6 2 4 5" xfId="17687" xr:uid="{BB9370E5-9FEA-4242-BC3F-CF1F76E644B2}"/>
    <cellStyle name="40% - Accent6 2 5" xfId="1112" xr:uid="{00000000-0005-0000-0000-000023070000}"/>
    <cellStyle name="40% - Accent6 2 5 2" xfId="3343" xr:uid="{00000000-0005-0000-0000-000024070000}"/>
    <cellStyle name="40% - Accent6 2 5 2 2" xfId="7565" xr:uid="{00000000-0005-0000-0000-000025070000}"/>
    <cellStyle name="40% - Accent6 2 5 2 2 2" xfId="16015" xr:uid="{26784599-36C5-409C-AC4A-BFFAA5633BE4}"/>
    <cellStyle name="40% - Accent6 2 5 2 2 3" xfId="24462" xr:uid="{57FD5D47-023A-4CE1-8DC8-09D0C6856DE8}"/>
    <cellStyle name="40% - Accent6 2 5 2 3" xfId="11797" xr:uid="{86807181-AC6B-49D3-B0ED-CDFA499EFA69}"/>
    <cellStyle name="40% - Accent6 2 5 2 4" xfId="20245" xr:uid="{47CA9FA0-F528-48B0-B977-3FE4BB88ABBF}"/>
    <cellStyle name="40% - Accent6 2 5 3" xfId="5420" xr:uid="{00000000-0005-0000-0000-000026070000}"/>
    <cellStyle name="40% - Accent6 2 5 3 2" xfId="13870" xr:uid="{CA405955-5402-4406-A010-B3AF3EA99F77}"/>
    <cellStyle name="40% - Accent6 2 5 3 3" xfId="22317" xr:uid="{DB81CCFE-4B21-4BF8-A9D3-8326F7784AE9}"/>
    <cellStyle name="40% - Accent6 2 5 4" xfId="9652" xr:uid="{BD5B3938-5A17-4106-B4CE-5D9B4366CE21}"/>
    <cellStyle name="40% - Accent6 2 5 5" xfId="18100" xr:uid="{06D97A66-932B-4510-836E-0DABD80C742F}"/>
    <cellStyle name="40% - Accent6 2 6" xfId="1526" xr:uid="{00000000-0005-0000-0000-000027070000}"/>
    <cellStyle name="40% - Accent6 2 6 2" xfId="3756" xr:uid="{00000000-0005-0000-0000-000028070000}"/>
    <cellStyle name="40% - Accent6 2 6 2 2" xfId="7978" xr:uid="{00000000-0005-0000-0000-000029070000}"/>
    <cellStyle name="40% - Accent6 2 6 2 2 2" xfId="16428" xr:uid="{A68C0F97-5F58-403F-8F77-CE5019F72D70}"/>
    <cellStyle name="40% - Accent6 2 6 2 2 3" xfId="24875" xr:uid="{CC4B5E5F-6083-4720-91B5-4BDD9FA55ACC}"/>
    <cellStyle name="40% - Accent6 2 6 2 3" xfId="12210" xr:uid="{9CCA1EE2-C8EA-407C-A8A1-C327D914DB7E}"/>
    <cellStyle name="40% - Accent6 2 6 2 4" xfId="20658" xr:uid="{F76EF8CD-A841-4670-9250-E563F1C75A91}"/>
    <cellStyle name="40% - Accent6 2 6 3" xfId="5833" xr:uid="{00000000-0005-0000-0000-00002A070000}"/>
    <cellStyle name="40% - Accent6 2 6 3 2" xfId="14283" xr:uid="{FA03276E-3DE9-44EB-9BB5-68C2DCFC03A6}"/>
    <cellStyle name="40% - Accent6 2 6 3 3" xfId="22730" xr:uid="{719F1D66-75CD-45AA-B393-EB05B49E63CA}"/>
    <cellStyle name="40% - Accent6 2 6 4" xfId="10065" xr:uid="{A5D16936-7348-4A65-8553-91BB956278B0}"/>
    <cellStyle name="40% - Accent6 2 6 5" xfId="18513" xr:uid="{8A84799B-34A8-4F29-AF96-CDE3DBF8B9C7}"/>
    <cellStyle name="40% - Accent6 2 7" xfId="1940" xr:uid="{00000000-0005-0000-0000-00002B070000}"/>
    <cellStyle name="40% - Accent6 2 7 2" xfId="4169" xr:uid="{00000000-0005-0000-0000-00002C070000}"/>
    <cellStyle name="40% - Accent6 2 7 2 2" xfId="8391" xr:uid="{00000000-0005-0000-0000-00002D070000}"/>
    <cellStyle name="40% - Accent6 2 7 2 2 2" xfId="16841" xr:uid="{A753A6B3-5238-4B14-9B3C-E3A0D6C72063}"/>
    <cellStyle name="40% - Accent6 2 7 2 2 3" xfId="25288" xr:uid="{9292C2AA-C3DA-423C-93A8-4CA9061A962B}"/>
    <cellStyle name="40% - Accent6 2 7 2 3" xfId="12623" xr:uid="{BFEA3E22-7E31-4524-BAAA-FC3193D949A9}"/>
    <cellStyle name="40% - Accent6 2 7 2 4" xfId="21071" xr:uid="{19F2B58A-7205-4DA1-B9E6-C57804856858}"/>
    <cellStyle name="40% - Accent6 2 7 3" xfId="6246" xr:uid="{00000000-0005-0000-0000-00002E070000}"/>
    <cellStyle name="40% - Accent6 2 7 3 2" xfId="14696" xr:uid="{246AF114-1E72-4166-897B-CC2376898893}"/>
    <cellStyle name="40% - Accent6 2 7 3 3" xfId="23143" xr:uid="{154FAB7E-A21E-4BA9-AEA3-A9D02C4EF7EE}"/>
    <cellStyle name="40% - Accent6 2 7 4" xfId="10478" xr:uid="{B1813A0A-3BE2-45A1-AF59-6965E6BA7BB4}"/>
    <cellStyle name="40% - Accent6 2 7 5" xfId="18926" xr:uid="{622B7DF0-E8BD-45DE-AC69-9E9D3F185A52}"/>
    <cellStyle name="40% - Accent6 2 8" xfId="2353" xr:uid="{00000000-0005-0000-0000-00002F070000}"/>
    <cellStyle name="40% - Accent6 2 8 2" xfId="6659" xr:uid="{00000000-0005-0000-0000-000030070000}"/>
    <cellStyle name="40% - Accent6 2 8 2 2" xfId="15109" xr:uid="{9DF5BA23-2378-4254-B889-A38CB81F4327}"/>
    <cellStyle name="40% - Accent6 2 8 2 3" xfId="23556" xr:uid="{F7A4F6E1-B800-4315-A053-CBC1C189DCE0}"/>
    <cellStyle name="40% - Accent6 2 8 3" xfId="10891" xr:uid="{B79E01A7-FE81-4DFD-818E-DE57860E8D6E}"/>
    <cellStyle name="40% - Accent6 2 8 4" xfId="19339" xr:uid="{A4742E99-8126-489F-9C32-9FD6ACB8E966}"/>
    <cellStyle name="40% - Accent6 2 9" xfId="4593" xr:uid="{00000000-0005-0000-0000-000031070000}"/>
    <cellStyle name="40% - Accent6 2 9 2" xfId="13043" xr:uid="{7D830774-590E-4C75-B669-4C94938FE54E}"/>
    <cellStyle name="40% - Accent6 2 9 3" xfId="21490" xr:uid="{ECDDB38E-642E-4037-962D-7715657260AC}"/>
    <cellStyle name="40% - Accent6 3" xfId="94" xr:uid="{00000000-0005-0000-0000-000032070000}"/>
    <cellStyle name="40% - Accent6 3 10" xfId="17277" xr:uid="{D663A2D5-E25B-4D86-8AF5-3DB2DACC1443}"/>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2 2 2" xfId="15607" xr:uid="{EFC21894-D9D7-4A93-B9FF-BB8E7D7E805B}"/>
    <cellStyle name="40% - Accent6 3 2 2 2 2 3" xfId="24054" xr:uid="{1C1B2901-9441-4066-BEBA-7D6B5D8F87E6}"/>
    <cellStyle name="40% - Accent6 3 2 2 2 3" xfId="11389" xr:uid="{1D6EC6D4-DAD7-44B1-B3E9-969C48023E30}"/>
    <cellStyle name="40% - Accent6 3 2 2 2 4" xfId="19837" xr:uid="{439CAA30-2923-4865-8006-904095A8CB82}"/>
    <cellStyle name="40% - Accent6 3 2 2 3" xfId="5012" xr:uid="{00000000-0005-0000-0000-000037070000}"/>
    <cellStyle name="40% - Accent6 3 2 2 3 2" xfId="13462" xr:uid="{8F7F4DD1-30FF-4256-9A98-58FED3B5A2F0}"/>
    <cellStyle name="40% - Accent6 3 2 2 3 3" xfId="21909" xr:uid="{7B9D1E7C-24EF-4DD8-8647-97A81F6BC3A6}"/>
    <cellStyle name="40% - Accent6 3 2 2 4" xfId="9244" xr:uid="{8180098B-135B-4A8E-B23E-E686579055C2}"/>
    <cellStyle name="40% - Accent6 3 2 2 5" xfId="17692" xr:uid="{27F955AD-DCA9-4256-90DD-AFFC0EE619FC}"/>
    <cellStyle name="40% - Accent6 3 2 3" xfId="1117" xr:uid="{00000000-0005-0000-0000-000038070000}"/>
    <cellStyle name="40% - Accent6 3 2 3 2" xfId="3348" xr:uid="{00000000-0005-0000-0000-000039070000}"/>
    <cellStyle name="40% - Accent6 3 2 3 2 2" xfId="7570" xr:uid="{00000000-0005-0000-0000-00003A070000}"/>
    <cellStyle name="40% - Accent6 3 2 3 2 2 2" xfId="16020" xr:uid="{3C6F16F0-7947-4942-8C6D-E5575A2F0CBD}"/>
    <cellStyle name="40% - Accent6 3 2 3 2 2 3" xfId="24467" xr:uid="{8ABA0976-43A8-4522-8705-00C4F74FF57E}"/>
    <cellStyle name="40% - Accent6 3 2 3 2 3" xfId="11802" xr:uid="{7E6EE7C2-348A-4CF1-AD47-F99CFD566B7E}"/>
    <cellStyle name="40% - Accent6 3 2 3 2 4" xfId="20250" xr:uid="{582AA254-34C6-4EE7-AAC6-DF9B5FD6E120}"/>
    <cellStyle name="40% - Accent6 3 2 3 3" xfId="5425" xr:uid="{00000000-0005-0000-0000-00003B070000}"/>
    <cellStyle name="40% - Accent6 3 2 3 3 2" xfId="13875" xr:uid="{C44D72F8-9B93-4CB5-BC24-344E74BF1146}"/>
    <cellStyle name="40% - Accent6 3 2 3 3 3" xfId="22322" xr:uid="{50CC3AA5-EA18-4588-8FB4-C8E27E71FE4D}"/>
    <cellStyle name="40% - Accent6 3 2 3 4" xfId="9657" xr:uid="{AE677DF3-1F99-4043-9010-151788C3B4F0}"/>
    <cellStyle name="40% - Accent6 3 2 3 5" xfId="18105" xr:uid="{77917349-9C37-4313-8371-C887D16A2BC7}"/>
    <cellStyle name="40% - Accent6 3 2 4" xfId="1531" xr:uid="{00000000-0005-0000-0000-00003C070000}"/>
    <cellStyle name="40% - Accent6 3 2 4 2" xfId="3761" xr:uid="{00000000-0005-0000-0000-00003D070000}"/>
    <cellStyle name="40% - Accent6 3 2 4 2 2" xfId="7983" xr:uid="{00000000-0005-0000-0000-00003E070000}"/>
    <cellStyle name="40% - Accent6 3 2 4 2 2 2" xfId="16433" xr:uid="{2673CB63-3594-4E14-B9DE-EF810D0DC75C}"/>
    <cellStyle name="40% - Accent6 3 2 4 2 2 3" xfId="24880" xr:uid="{6A0F419B-BA06-426D-93DA-73683122DA00}"/>
    <cellStyle name="40% - Accent6 3 2 4 2 3" xfId="12215" xr:uid="{1835F30D-4F59-48B1-BCD3-B20B0A3EA9DE}"/>
    <cellStyle name="40% - Accent6 3 2 4 2 4" xfId="20663" xr:uid="{710BFD18-6B04-42C9-AC11-C8A2895CEBD1}"/>
    <cellStyle name="40% - Accent6 3 2 4 3" xfId="5838" xr:uid="{00000000-0005-0000-0000-00003F070000}"/>
    <cellStyle name="40% - Accent6 3 2 4 3 2" xfId="14288" xr:uid="{E435F24E-25A1-4AD2-B60A-A6C3D660B38F}"/>
    <cellStyle name="40% - Accent6 3 2 4 3 3" xfId="22735" xr:uid="{2A3CE895-7524-4AC7-B5B8-A0713AB075B0}"/>
    <cellStyle name="40% - Accent6 3 2 4 4" xfId="10070" xr:uid="{89B10956-D32E-4B9B-A387-5D1D43EB9198}"/>
    <cellStyle name="40% - Accent6 3 2 4 5" xfId="18518" xr:uid="{633B0474-DE70-4DF1-B1D7-0885A452687D}"/>
    <cellStyle name="40% - Accent6 3 2 5" xfId="1945" xr:uid="{00000000-0005-0000-0000-000040070000}"/>
    <cellStyle name="40% - Accent6 3 2 5 2" xfId="4174" xr:uid="{00000000-0005-0000-0000-000041070000}"/>
    <cellStyle name="40% - Accent6 3 2 5 2 2" xfId="8396" xr:uid="{00000000-0005-0000-0000-000042070000}"/>
    <cellStyle name="40% - Accent6 3 2 5 2 2 2" xfId="16846" xr:uid="{62555739-B7B7-4C78-BB06-F69CE768512B}"/>
    <cellStyle name="40% - Accent6 3 2 5 2 2 3" xfId="25293" xr:uid="{8EDBB010-419D-45E9-B80D-7E024167B2F2}"/>
    <cellStyle name="40% - Accent6 3 2 5 2 3" xfId="12628" xr:uid="{826B1379-1AD8-4C61-B285-4B4F4FE2D99A}"/>
    <cellStyle name="40% - Accent6 3 2 5 2 4" xfId="21076" xr:uid="{B277C234-73DE-4D85-B495-F243AA344CD8}"/>
    <cellStyle name="40% - Accent6 3 2 5 3" xfId="6251" xr:uid="{00000000-0005-0000-0000-000043070000}"/>
    <cellStyle name="40% - Accent6 3 2 5 3 2" xfId="14701" xr:uid="{4C9C371D-8CF9-4F9F-977B-7DF5DE77D3FA}"/>
    <cellStyle name="40% - Accent6 3 2 5 3 3" xfId="23148" xr:uid="{DCEB6C99-D4B4-4C00-99D9-0FE59CFC0C24}"/>
    <cellStyle name="40% - Accent6 3 2 5 4" xfId="10483" xr:uid="{1294C617-C528-4849-925E-F19D1FB58A3D}"/>
    <cellStyle name="40% - Accent6 3 2 5 5" xfId="18931" xr:uid="{D9C33F10-2923-4A97-80D7-DFB66374CAEE}"/>
    <cellStyle name="40% - Accent6 3 2 6" xfId="2358" xr:uid="{00000000-0005-0000-0000-000044070000}"/>
    <cellStyle name="40% - Accent6 3 2 6 2" xfId="6664" xr:uid="{00000000-0005-0000-0000-000045070000}"/>
    <cellStyle name="40% - Accent6 3 2 6 2 2" xfId="15114" xr:uid="{DD4F939D-3C65-4142-8293-BA81913C8432}"/>
    <cellStyle name="40% - Accent6 3 2 6 2 3" xfId="23561" xr:uid="{AB59FF77-F379-481A-97E7-E477050C49E6}"/>
    <cellStyle name="40% - Accent6 3 2 6 3" xfId="10896" xr:uid="{F97419AD-01DF-4DC3-9EAF-3835D765B57E}"/>
    <cellStyle name="40% - Accent6 3 2 6 4" xfId="19344" xr:uid="{A4C48423-DA4C-4C08-A141-A99F4928BDB9}"/>
    <cellStyle name="40% - Accent6 3 2 7" xfId="4598" xr:uid="{00000000-0005-0000-0000-000046070000}"/>
    <cellStyle name="40% - Accent6 3 2 7 2" xfId="13048" xr:uid="{65FC14C1-C1D5-456C-8DEF-9F58D16B8063}"/>
    <cellStyle name="40% - Accent6 3 2 7 3" xfId="21495" xr:uid="{CEE59816-6C2B-4AAA-A667-99BABE5FDE8E}"/>
    <cellStyle name="40% - Accent6 3 2 8" xfId="8830" xr:uid="{7929D7F1-9D49-4E77-88E2-1330B15B5023}"/>
    <cellStyle name="40% - Accent6 3 2 9" xfId="17278" xr:uid="{6B09BE73-41D9-4ECE-9C26-4C89B898D124}"/>
    <cellStyle name="40% - Accent6 3 3" xfId="663" xr:uid="{00000000-0005-0000-0000-000047070000}"/>
    <cellStyle name="40% - Accent6 3 3 2" xfId="2934" xr:uid="{00000000-0005-0000-0000-000048070000}"/>
    <cellStyle name="40% - Accent6 3 3 2 2" xfId="7156" xr:uid="{00000000-0005-0000-0000-000049070000}"/>
    <cellStyle name="40% - Accent6 3 3 2 2 2" xfId="15606" xr:uid="{3F18E0F0-0666-4637-B8BC-85F12546E074}"/>
    <cellStyle name="40% - Accent6 3 3 2 2 3" xfId="24053" xr:uid="{EDB54FB8-02BD-47A3-B643-2D0C1DB41C50}"/>
    <cellStyle name="40% - Accent6 3 3 2 3" xfId="11388" xr:uid="{6F13EA87-7698-4494-A20D-862641B7566A}"/>
    <cellStyle name="40% - Accent6 3 3 2 4" xfId="19836" xr:uid="{4F9FC74F-D8FF-4988-B2F2-6768EB9BAEF4}"/>
    <cellStyle name="40% - Accent6 3 3 3" xfId="5011" xr:uid="{00000000-0005-0000-0000-00004A070000}"/>
    <cellStyle name="40% - Accent6 3 3 3 2" xfId="13461" xr:uid="{C928F793-02F1-4745-942D-6F8B8D315A31}"/>
    <cellStyle name="40% - Accent6 3 3 3 3" xfId="21908" xr:uid="{032AB4BF-E50B-4296-AE1D-D2099E87F1DD}"/>
    <cellStyle name="40% - Accent6 3 3 4" xfId="9243" xr:uid="{16A154C9-A346-4AB7-9316-90FF526A50CD}"/>
    <cellStyle name="40% - Accent6 3 3 5" xfId="17691" xr:uid="{561C7B3D-7715-4967-9FFC-0E2DC106A3B9}"/>
    <cellStyle name="40% - Accent6 3 4" xfId="1116" xr:uid="{00000000-0005-0000-0000-00004B070000}"/>
    <cellStyle name="40% - Accent6 3 4 2" xfId="3347" xr:uid="{00000000-0005-0000-0000-00004C070000}"/>
    <cellStyle name="40% - Accent6 3 4 2 2" xfId="7569" xr:uid="{00000000-0005-0000-0000-00004D070000}"/>
    <cellStyle name="40% - Accent6 3 4 2 2 2" xfId="16019" xr:uid="{F86B6E4C-5E83-4663-BA02-F063AEE90598}"/>
    <cellStyle name="40% - Accent6 3 4 2 2 3" xfId="24466" xr:uid="{2F69DEF8-0004-4F28-8443-C30AEE998050}"/>
    <cellStyle name="40% - Accent6 3 4 2 3" xfId="11801" xr:uid="{C33A0622-EC70-455D-810B-986CD80FC83F}"/>
    <cellStyle name="40% - Accent6 3 4 2 4" xfId="20249" xr:uid="{46DF0A21-EC79-45DE-8599-8380B3DBC67F}"/>
    <cellStyle name="40% - Accent6 3 4 3" xfId="5424" xr:uid="{00000000-0005-0000-0000-00004E070000}"/>
    <cellStyle name="40% - Accent6 3 4 3 2" xfId="13874" xr:uid="{2FD151CA-F0DB-4AA3-B703-9AF1B3480262}"/>
    <cellStyle name="40% - Accent6 3 4 3 3" xfId="22321" xr:uid="{E9A56B56-F3B1-4492-98EA-1611E3739383}"/>
    <cellStyle name="40% - Accent6 3 4 4" xfId="9656" xr:uid="{40CBAFBD-D74E-4E16-A2B2-B3995F06E43D}"/>
    <cellStyle name="40% - Accent6 3 4 5" xfId="18104" xr:uid="{EBB08018-53D2-4BAA-BE6D-266C10398866}"/>
    <cellStyle name="40% - Accent6 3 5" xfId="1530" xr:uid="{00000000-0005-0000-0000-00004F070000}"/>
    <cellStyle name="40% - Accent6 3 5 2" xfId="3760" xr:uid="{00000000-0005-0000-0000-000050070000}"/>
    <cellStyle name="40% - Accent6 3 5 2 2" xfId="7982" xr:uid="{00000000-0005-0000-0000-000051070000}"/>
    <cellStyle name="40% - Accent6 3 5 2 2 2" xfId="16432" xr:uid="{BDBF26A6-DE87-4417-872C-29F4E81DF039}"/>
    <cellStyle name="40% - Accent6 3 5 2 2 3" xfId="24879" xr:uid="{3AAD796E-6F44-4F22-B5D9-59E8F71FED65}"/>
    <cellStyle name="40% - Accent6 3 5 2 3" xfId="12214" xr:uid="{A93E0540-D8E0-476E-9009-DD48B5476E62}"/>
    <cellStyle name="40% - Accent6 3 5 2 4" xfId="20662" xr:uid="{BE1E088D-BA86-4CF3-B987-9547B57FE92C}"/>
    <cellStyle name="40% - Accent6 3 5 3" xfId="5837" xr:uid="{00000000-0005-0000-0000-000052070000}"/>
    <cellStyle name="40% - Accent6 3 5 3 2" xfId="14287" xr:uid="{70F0111C-DC0A-4B6A-9477-8546E6919737}"/>
    <cellStyle name="40% - Accent6 3 5 3 3" xfId="22734" xr:uid="{C66774AA-62A2-4C39-9AEE-6E64F93B4B20}"/>
    <cellStyle name="40% - Accent6 3 5 4" xfId="10069" xr:uid="{97A3470C-B5B1-46DA-A03F-964CF271F3A5}"/>
    <cellStyle name="40% - Accent6 3 5 5" xfId="18517" xr:uid="{32F346BB-95F2-4563-81C1-A30AAE895395}"/>
    <cellStyle name="40% - Accent6 3 6" xfId="1944" xr:uid="{00000000-0005-0000-0000-000053070000}"/>
    <cellStyle name="40% - Accent6 3 6 2" xfId="4173" xr:uid="{00000000-0005-0000-0000-000054070000}"/>
    <cellStyle name="40% - Accent6 3 6 2 2" xfId="8395" xr:uid="{00000000-0005-0000-0000-000055070000}"/>
    <cellStyle name="40% - Accent6 3 6 2 2 2" xfId="16845" xr:uid="{7529744B-6497-4DD6-A298-F609A15DE26C}"/>
    <cellStyle name="40% - Accent6 3 6 2 2 3" xfId="25292" xr:uid="{D9052308-9467-4E8E-9B14-53AD3E402879}"/>
    <cellStyle name="40% - Accent6 3 6 2 3" xfId="12627" xr:uid="{FE2C915A-F683-4753-A46F-AFC50EF2F04B}"/>
    <cellStyle name="40% - Accent6 3 6 2 4" xfId="21075" xr:uid="{791B45CC-E08E-482E-AACE-7CF87C51BEAD}"/>
    <cellStyle name="40% - Accent6 3 6 3" xfId="6250" xr:uid="{00000000-0005-0000-0000-000056070000}"/>
    <cellStyle name="40% - Accent6 3 6 3 2" xfId="14700" xr:uid="{04E4D7D7-BD55-4C83-AFF9-B05B0553959F}"/>
    <cellStyle name="40% - Accent6 3 6 3 3" xfId="23147" xr:uid="{D4C1DFA5-A72B-4E18-A4DC-A3B3212C804C}"/>
    <cellStyle name="40% - Accent6 3 6 4" xfId="10482" xr:uid="{1AEAE4FB-9F47-403D-83A3-E3709BCDECEE}"/>
    <cellStyle name="40% - Accent6 3 6 5" xfId="18930" xr:uid="{D3975D24-91E7-4DFB-A53B-42D3868A87A9}"/>
    <cellStyle name="40% - Accent6 3 7" xfId="2357" xr:uid="{00000000-0005-0000-0000-000057070000}"/>
    <cellStyle name="40% - Accent6 3 7 2" xfId="6663" xr:uid="{00000000-0005-0000-0000-000058070000}"/>
    <cellStyle name="40% - Accent6 3 7 2 2" xfId="15113" xr:uid="{71591190-4717-4587-B407-6E9E44B5531D}"/>
    <cellStyle name="40% - Accent6 3 7 2 3" xfId="23560" xr:uid="{15A48D62-C1BE-4CA3-AF28-D3FCA09DC2CA}"/>
    <cellStyle name="40% - Accent6 3 7 3" xfId="10895" xr:uid="{E4DC62B6-BE52-40D4-9DAE-22412CE42C6B}"/>
    <cellStyle name="40% - Accent6 3 7 4" xfId="19343" xr:uid="{C89FA101-2D9B-4D38-8A63-4FBC72F839EE}"/>
    <cellStyle name="40% - Accent6 3 8" xfId="4597" xr:uid="{00000000-0005-0000-0000-000059070000}"/>
    <cellStyle name="40% - Accent6 3 8 2" xfId="13047" xr:uid="{DBC65C13-391C-4243-8D05-5CBF68D8300A}"/>
    <cellStyle name="40% - Accent6 3 8 3" xfId="21494" xr:uid="{730FE586-F2A1-4CE4-A04D-44D2C9389447}"/>
    <cellStyle name="40% - Accent6 3 9" xfId="8829" xr:uid="{6B5FA168-BFC6-4F68-B43B-30288B1D293C}"/>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2 2 2" xfId="15608" xr:uid="{B3FC373B-55FC-4FD7-ADD0-BA4C7367DB15}"/>
    <cellStyle name="40% - Accent6 4 2 2 2 3" xfId="24055" xr:uid="{EC2CAAB2-8664-4D50-8FE7-84B343752793}"/>
    <cellStyle name="40% - Accent6 4 2 2 3" xfId="11390" xr:uid="{44AACDDD-DA86-424C-A03B-A8DD4914906A}"/>
    <cellStyle name="40% - Accent6 4 2 2 4" xfId="19838" xr:uid="{C9AF239E-7BD1-4183-8A21-CF9918ED5AB1}"/>
    <cellStyle name="40% - Accent6 4 2 3" xfId="5013" xr:uid="{00000000-0005-0000-0000-00005E070000}"/>
    <cellStyle name="40% - Accent6 4 2 3 2" xfId="13463" xr:uid="{8DA87C31-9BD8-4F55-AF22-FF214709C775}"/>
    <cellStyle name="40% - Accent6 4 2 3 3" xfId="21910" xr:uid="{182761DB-2283-4401-9C0A-0EAFF1729338}"/>
    <cellStyle name="40% - Accent6 4 2 4" xfId="9245" xr:uid="{B20AD815-B6B9-4F9C-98AC-343013D85E8F}"/>
    <cellStyle name="40% - Accent6 4 2 5" xfId="17693" xr:uid="{C7FB299A-2270-4C5A-BB5F-556D9BC675EF}"/>
    <cellStyle name="40% - Accent6 4 3" xfId="1118" xr:uid="{00000000-0005-0000-0000-00005F070000}"/>
    <cellStyle name="40% - Accent6 4 3 2" xfId="3349" xr:uid="{00000000-0005-0000-0000-000060070000}"/>
    <cellStyle name="40% - Accent6 4 3 2 2" xfId="7571" xr:uid="{00000000-0005-0000-0000-000061070000}"/>
    <cellStyle name="40% - Accent6 4 3 2 2 2" xfId="16021" xr:uid="{C13F46F3-9C4B-49E4-BDC6-55496A0E28F6}"/>
    <cellStyle name="40% - Accent6 4 3 2 2 3" xfId="24468" xr:uid="{C44001B9-7D71-4AB3-A9E2-707FB5E03790}"/>
    <cellStyle name="40% - Accent6 4 3 2 3" xfId="11803" xr:uid="{DD4C7D45-80DA-4FF3-A01F-67F88290EE82}"/>
    <cellStyle name="40% - Accent6 4 3 2 4" xfId="20251" xr:uid="{D776FAA7-49E8-4D0C-956C-57CABBD47C28}"/>
    <cellStyle name="40% - Accent6 4 3 3" xfId="5426" xr:uid="{00000000-0005-0000-0000-000062070000}"/>
    <cellStyle name="40% - Accent6 4 3 3 2" xfId="13876" xr:uid="{CC258E93-225A-4B4B-BCA4-C6B4D1BB7960}"/>
    <cellStyle name="40% - Accent6 4 3 3 3" xfId="22323" xr:uid="{2CF121B2-B754-48BA-985E-FFCB763929AB}"/>
    <cellStyle name="40% - Accent6 4 3 4" xfId="9658" xr:uid="{A9796FFF-24EE-49C5-9F79-62A9D5890F9D}"/>
    <cellStyle name="40% - Accent6 4 3 5" xfId="18106" xr:uid="{42306278-8339-4D55-898F-6B05C46080C9}"/>
    <cellStyle name="40% - Accent6 4 4" xfId="1532" xr:uid="{00000000-0005-0000-0000-000063070000}"/>
    <cellStyle name="40% - Accent6 4 4 2" xfId="3762" xr:uid="{00000000-0005-0000-0000-000064070000}"/>
    <cellStyle name="40% - Accent6 4 4 2 2" xfId="7984" xr:uid="{00000000-0005-0000-0000-000065070000}"/>
    <cellStyle name="40% - Accent6 4 4 2 2 2" xfId="16434" xr:uid="{25994562-668E-4148-9C0B-AA59C8F8991D}"/>
    <cellStyle name="40% - Accent6 4 4 2 2 3" xfId="24881" xr:uid="{A09654C3-DBD9-4C2F-B924-9266DE0C6FEC}"/>
    <cellStyle name="40% - Accent6 4 4 2 3" xfId="12216" xr:uid="{272056D4-5BD1-418B-B362-964BCCB486F3}"/>
    <cellStyle name="40% - Accent6 4 4 2 4" xfId="20664" xr:uid="{490DCEFC-258B-43AB-B595-BEA8DC1F0FBD}"/>
    <cellStyle name="40% - Accent6 4 4 3" xfId="5839" xr:uid="{00000000-0005-0000-0000-000066070000}"/>
    <cellStyle name="40% - Accent6 4 4 3 2" xfId="14289" xr:uid="{F1605B02-56AB-458D-9637-A91F9026FA7E}"/>
    <cellStyle name="40% - Accent6 4 4 3 3" xfId="22736" xr:uid="{C23E3AE6-F8BE-4DD4-9644-06142E8D6170}"/>
    <cellStyle name="40% - Accent6 4 4 4" xfId="10071" xr:uid="{74926B3E-4587-4F0B-AAB3-67B7EAE08CC1}"/>
    <cellStyle name="40% - Accent6 4 4 5" xfId="18519" xr:uid="{3B9B88E4-7AE0-4A30-9278-9BC7D9DF45BD}"/>
    <cellStyle name="40% - Accent6 4 5" xfId="1946" xr:uid="{00000000-0005-0000-0000-000067070000}"/>
    <cellStyle name="40% - Accent6 4 5 2" xfId="4175" xr:uid="{00000000-0005-0000-0000-000068070000}"/>
    <cellStyle name="40% - Accent6 4 5 2 2" xfId="8397" xr:uid="{00000000-0005-0000-0000-000069070000}"/>
    <cellStyle name="40% - Accent6 4 5 2 2 2" xfId="16847" xr:uid="{67463021-A135-4AA4-B2D9-907CDAF6EF56}"/>
    <cellStyle name="40% - Accent6 4 5 2 2 3" xfId="25294" xr:uid="{6AB001FC-FF70-49CA-9FB4-519F402AEED4}"/>
    <cellStyle name="40% - Accent6 4 5 2 3" xfId="12629" xr:uid="{F0F95E1F-8605-4B61-9A62-90131D2A8238}"/>
    <cellStyle name="40% - Accent6 4 5 2 4" xfId="21077" xr:uid="{DBD20872-78FC-4EC1-B67D-1CEC3AC5DEB6}"/>
    <cellStyle name="40% - Accent6 4 5 3" xfId="6252" xr:uid="{00000000-0005-0000-0000-00006A070000}"/>
    <cellStyle name="40% - Accent6 4 5 3 2" xfId="14702" xr:uid="{56980F8C-A9C9-432D-9134-AFE149D8D3DB}"/>
    <cellStyle name="40% - Accent6 4 5 3 3" xfId="23149" xr:uid="{CF9761CE-52B1-4DE2-8C09-81275398CF26}"/>
    <cellStyle name="40% - Accent6 4 5 4" xfId="10484" xr:uid="{87A73FAA-B762-477B-B334-7C935A9B6EDE}"/>
    <cellStyle name="40% - Accent6 4 5 5" xfId="18932" xr:uid="{D3144750-5812-419E-943E-C5910C04C508}"/>
    <cellStyle name="40% - Accent6 4 6" xfId="2359" xr:uid="{00000000-0005-0000-0000-00006B070000}"/>
    <cellStyle name="40% - Accent6 4 6 2" xfId="6665" xr:uid="{00000000-0005-0000-0000-00006C070000}"/>
    <cellStyle name="40% - Accent6 4 6 2 2" xfId="15115" xr:uid="{AC61D17D-B059-4B79-A2D2-55BE27F5F865}"/>
    <cellStyle name="40% - Accent6 4 6 2 3" xfId="23562" xr:uid="{515D4E4A-741A-46A0-B7BA-917CE2618BBD}"/>
    <cellStyle name="40% - Accent6 4 6 3" xfId="10897" xr:uid="{26A93DAC-4508-476B-992E-ECFF104D8FE9}"/>
    <cellStyle name="40% - Accent6 4 6 4" xfId="19345" xr:uid="{38006472-469A-41D6-8E4F-BAE27F102D6F}"/>
    <cellStyle name="40% - Accent6 4 7" xfId="4599" xr:uid="{00000000-0005-0000-0000-00006D070000}"/>
    <cellStyle name="40% - Accent6 4 7 2" xfId="13049" xr:uid="{A3F2A805-9920-42D2-9489-476BEA2C70D3}"/>
    <cellStyle name="40% - Accent6 4 7 3" xfId="21496" xr:uid="{8EBEC89F-BE59-422E-9D38-4662DD26E377}"/>
    <cellStyle name="40% - Accent6 4 8" xfId="8831" xr:uid="{9295555F-8CF1-4BF8-8579-69D5CFFE9BCE}"/>
    <cellStyle name="40% - Accent6 4 9" xfId="17279" xr:uid="{AD982643-9041-4320-97B7-DBBC50CD9AA0}"/>
    <cellStyle name="40% - Accent6 5" xfId="658" xr:uid="{00000000-0005-0000-0000-00006E070000}"/>
    <cellStyle name="40% - Accent6 5 2" xfId="2929" xr:uid="{00000000-0005-0000-0000-00006F070000}"/>
    <cellStyle name="40% - Accent6 5 2 2" xfId="7151" xr:uid="{00000000-0005-0000-0000-000070070000}"/>
    <cellStyle name="40% - Accent6 5 2 2 2" xfId="15601" xr:uid="{DC6175F6-B456-4B6E-A472-F6B792D353E8}"/>
    <cellStyle name="40% - Accent6 5 2 2 3" xfId="24048" xr:uid="{590CC0E6-F10A-4162-92FA-F140339C02E9}"/>
    <cellStyle name="40% - Accent6 5 2 3" xfId="11383" xr:uid="{6320F071-C4E8-4C7E-8892-F4251159A69B}"/>
    <cellStyle name="40% - Accent6 5 2 4" xfId="19831" xr:uid="{749489F9-CDF8-4979-A072-6CE20A89C1C6}"/>
    <cellStyle name="40% - Accent6 5 3" xfId="5006" xr:uid="{00000000-0005-0000-0000-000071070000}"/>
    <cellStyle name="40% - Accent6 5 3 2" xfId="13456" xr:uid="{FB6C7298-C2A2-4BDF-A612-939B0FE8A10B}"/>
    <cellStyle name="40% - Accent6 5 3 3" xfId="21903" xr:uid="{FA97BC7E-9766-482C-B46A-34E077EDB156}"/>
    <cellStyle name="40% - Accent6 5 4" xfId="9238" xr:uid="{2BA698E3-874E-4F22-9670-B23C01567B98}"/>
    <cellStyle name="40% - Accent6 5 5" xfId="17686" xr:uid="{407119E8-3915-4A75-B9F9-A906AB5384AD}"/>
    <cellStyle name="40% - Accent6 6" xfId="1111" xr:uid="{00000000-0005-0000-0000-000072070000}"/>
    <cellStyle name="40% - Accent6 6 2" xfId="3342" xr:uid="{00000000-0005-0000-0000-000073070000}"/>
    <cellStyle name="40% - Accent6 6 2 2" xfId="7564" xr:uid="{00000000-0005-0000-0000-000074070000}"/>
    <cellStyle name="40% - Accent6 6 2 2 2" xfId="16014" xr:uid="{B55CF5AB-5DF4-4F8F-B748-404C8A902FDA}"/>
    <cellStyle name="40% - Accent6 6 2 2 3" xfId="24461" xr:uid="{BD2AB119-16B8-424B-990E-4017C558F6DE}"/>
    <cellStyle name="40% - Accent6 6 2 3" xfId="11796" xr:uid="{CBACC312-79CE-451C-8766-26C001783AAD}"/>
    <cellStyle name="40% - Accent6 6 2 4" xfId="20244" xr:uid="{43BC5DD8-F1E8-4674-93E0-E31266883639}"/>
    <cellStyle name="40% - Accent6 6 3" xfId="5419" xr:uid="{00000000-0005-0000-0000-000075070000}"/>
    <cellStyle name="40% - Accent6 6 3 2" xfId="13869" xr:uid="{486879BE-BD9C-478A-AC07-2881B442408A}"/>
    <cellStyle name="40% - Accent6 6 3 3" xfId="22316" xr:uid="{747DA851-8146-4C97-A570-8DB0AEC7D41C}"/>
    <cellStyle name="40% - Accent6 6 4" xfId="9651" xr:uid="{3102566F-2D1A-4012-8A01-CF52D8CE895D}"/>
    <cellStyle name="40% - Accent6 6 5" xfId="18099" xr:uid="{ABD33730-755E-4ED7-870F-D7DB519CCDC3}"/>
    <cellStyle name="40% - Accent6 7" xfId="1525" xr:uid="{00000000-0005-0000-0000-000076070000}"/>
    <cellStyle name="40% - Accent6 7 2" xfId="3755" xr:uid="{00000000-0005-0000-0000-000077070000}"/>
    <cellStyle name="40% - Accent6 7 2 2" xfId="7977" xr:uid="{00000000-0005-0000-0000-000078070000}"/>
    <cellStyle name="40% - Accent6 7 2 2 2" xfId="16427" xr:uid="{2253D9ED-1027-4E6F-9E19-304D635F0A5D}"/>
    <cellStyle name="40% - Accent6 7 2 2 3" xfId="24874" xr:uid="{9816F975-6A16-4C25-B2A1-7119B9EB7175}"/>
    <cellStyle name="40% - Accent6 7 2 3" xfId="12209" xr:uid="{BC14918A-BBE4-4BBD-8EFA-3DCD627769B3}"/>
    <cellStyle name="40% - Accent6 7 2 4" xfId="20657" xr:uid="{F2594215-A968-4D75-BFD6-AD1E8C440F5B}"/>
    <cellStyle name="40% - Accent6 7 3" xfId="5832" xr:uid="{00000000-0005-0000-0000-000079070000}"/>
    <cellStyle name="40% - Accent6 7 3 2" xfId="14282" xr:uid="{0C8B8426-B530-4936-838B-67A6764B4888}"/>
    <cellStyle name="40% - Accent6 7 3 3" xfId="22729" xr:uid="{D557E430-8C6E-4196-9DB8-3EB74B33170E}"/>
    <cellStyle name="40% - Accent6 7 4" xfId="10064" xr:uid="{2DACC180-C5D0-4B5D-9C67-EE4C6E0BC754}"/>
    <cellStyle name="40% - Accent6 7 5" xfId="18512" xr:uid="{2109E331-4118-4E3D-A98B-C99870DC9DC8}"/>
    <cellStyle name="40% - Accent6 8" xfId="1939" xr:uid="{00000000-0005-0000-0000-00007A070000}"/>
    <cellStyle name="40% - Accent6 8 2" xfId="4168" xr:uid="{00000000-0005-0000-0000-00007B070000}"/>
    <cellStyle name="40% - Accent6 8 2 2" xfId="8390" xr:uid="{00000000-0005-0000-0000-00007C070000}"/>
    <cellStyle name="40% - Accent6 8 2 2 2" xfId="16840" xr:uid="{5B0AF454-7709-4771-93D8-8EEB9EA568CD}"/>
    <cellStyle name="40% - Accent6 8 2 2 3" xfId="25287" xr:uid="{A4716962-9E26-451A-911E-393CE7DC9B79}"/>
    <cellStyle name="40% - Accent6 8 2 3" xfId="12622" xr:uid="{E0C86439-F538-4236-90C1-891987DEA45D}"/>
    <cellStyle name="40% - Accent6 8 2 4" xfId="21070" xr:uid="{D7B1A10F-B2DB-496F-A91F-F1353050756F}"/>
    <cellStyle name="40% - Accent6 8 3" xfId="6245" xr:uid="{00000000-0005-0000-0000-00007D070000}"/>
    <cellStyle name="40% - Accent6 8 3 2" xfId="14695" xr:uid="{E73445DF-EE06-464E-A405-7B703BEA84FD}"/>
    <cellStyle name="40% - Accent6 8 3 3" xfId="23142" xr:uid="{4049E3E7-0221-4FCA-ACAF-4056D01A5FE4}"/>
    <cellStyle name="40% - Accent6 8 4" xfId="10477" xr:uid="{85A9F7DB-D177-481C-B887-D1D6FFB74DB7}"/>
    <cellStyle name="40% - Accent6 8 5" xfId="18925" xr:uid="{63494BE8-A484-4904-8965-38E8704071CA}"/>
    <cellStyle name="40% - Accent6 9" xfId="2352" xr:uid="{00000000-0005-0000-0000-00007E070000}"/>
    <cellStyle name="40% - Accent6 9 2" xfId="6658" xr:uid="{00000000-0005-0000-0000-00007F070000}"/>
    <cellStyle name="40% - Accent6 9 2 2" xfId="15108" xr:uid="{2BE81B59-CAE3-4EE0-BF7B-561322E9ABE4}"/>
    <cellStyle name="40% - Accent6 9 2 3" xfId="23555" xr:uid="{9606E599-6593-46C1-B912-35C45A6AB13A}"/>
    <cellStyle name="40% - Accent6 9 3" xfId="10890" xr:uid="{CD860527-B85A-41D7-A31F-139461950803}"/>
    <cellStyle name="40% - Accent6 9 4" xfId="19338" xr:uid="{A27768CD-AD45-488A-AED3-E56D7C5FB4BE}"/>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0 2 2" xfId="15433" xr:uid="{6D5EA5D6-097C-4A82-9D76-05A8A9D7F3AE}"/>
    <cellStyle name="Comma 4 2 2 2 10 2 3" xfId="23880" xr:uid="{AC510A57-A298-4AE2-9FC8-E55B397C036B}"/>
    <cellStyle name="Comma 4 2 2 2 10 3" xfId="11215" xr:uid="{D38BF868-A3D6-4017-A482-EEEDD90E0845}"/>
    <cellStyle name="Comma 4 2 2 2 10 4" xfId="19663" xr:uid="{53515929-D66B-42AB-91B2-609EA6EA3865}"/>
    <cellStyle name="Comma 4 2 2 2 11" xfId="4600" xr:uid="{00000000-0005-0000-0000-0000A3070000}"/>
    <cellStyle name="Comma 4 2 2 2 11 2" xfId="13050" xr:uid="{7F9BF5AE-14E3-4F05-8A3B-FB2071F464A0}"/>
    <cellStyle name="Comma 4 2 2 2 11 3" xfId="21497" xr:uid="{E436497F-F634-4C44-8C78-775C95C61D28}"/>
    <cellStyle name="Comma 4 2 2 2 12" xfId="8832" xr:uid="{4863E39D-1774-49D2-814F-60E570B5AA79}"/>
    <cellStyle name="Comma 4 2 2 2 13" xfId="17280" xr:uid="{2EE5D9AE-3BF6-40F7-A440-E2925E266537}"/>
    <cellStyle name="Comma 4 2 2 2 2" xfId="129" xr:uid="{00000000-0005-0000-0000-0000A4070000}"/>
    <cellStyle name="Comma 4 2 2 2 2 10" xfId="4601" xr:uid="{00000000-0005-0000-0000-0000A5070000}"/>
    <cellStyle name="Comma 4 2 2 2 2 10 2" xfId="13051" xr:uid="{BE9D14F2-B396-4942-A11A-2908EED1F0C9}"/>
    <cellStyle name="Comma 4 2 2 2 2 10 3" xfId="21498" xr:uid="{16FF972A-4D26-496D-8192-183C0E72E037}"/>
    <cellStyle name="Comma 4 2 2 2 2 11" xfId="8833" xr:uid="{90F687B4-0103-47CF-A327-E3A9C712F780}"/>
    <cellStyle name="Comma 4 2 2 2 2 12" xfId="17281" xr:uid="{82F8C25B-45FB-4DAA-855F-2E405A50B26E}"/>
    <cellStyle name="Comma 4 2 2 2 2 2" xfId="130" xr:uid="{00000000-0005-0000-0000-0000A6070000}"/>
    <cellStyle name="Comma 4 2 2 2 2 2 10" xfId="8834" xr:uid="{EB296B65-397A-4312-8C7A-5BDDEF3D5785}"/>
    <cellStyle name="Comma 4 2 2 2 2 2 11" xfId="17282" xr:uid="{69A21E33-10D5-4913-8B8D-6BDAED455C0A}"/>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2 2 2" xfId="15611" xr:uid="{AB699718-C604-40C5-A8E7-081DC9F1EA52}"/>
    <cellStyle name="Comma 4 2 2 2 2 2 2 2 2 3" xfId="24058" xr:uid="{D9FE8576-2FA0-4321-885C-A80AB1A418A7}"/>
    <cellStyle name="Comma 4 2 2 2 2 2 2 2 3" xfId="11393" xr:uid="{3EB25864-572B-44B4-835A-8F168AD421FB}"/>
    <cellStyle name="Comma 4 2 2 2 2 2 2 2 4" xfId="19841" xr:uid="{78C4EF11-AC35-4527-9E8A-9E12E82A800B}"/>
    <cellStyle name="Comma 4 2 2 2 2 2 2 3" xfId="5016" xr:uid="{00000000-0005-0000-0000-0000AA070000}"/>
    <cellStyle name="Comma 4 2 2 2 2 2 2 3 2" xfId="13466" xr:uid="{5026099B-1AA1-4F6E-AACE-F2F252B0B2A5}"/>
    <cellStyle name="Comma 4 2 2 2 2 2 2 3 3" xfId="21913" xr:uid="{DBC02EBC-061D-4AD2-8837-DC50F1BFC344}"/>
    <cellStyle name="Comma 4 2 2 2 2 2 2 4" xfId="9248" xr:uid="{0BD29335-0F06-4A5F-90F5-D055278DDFD7}"/>
    <cellStyle name="Comma 4 2 2 2 2 2 2 5" xfId="17696" xr:uid="{49522D41-F1AD-423C-81B8-163125DFF9AE}"/>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2 2 2" xfId="16024" xr:uid="{55012BAB-01BB-46EE-90EC-2CE5F56DF691}"/>
    <cellStyle name="Comma 4 2 2 2 2 2 3 2 2 3" xfId="24471" xr:uid="{9A447380-AFC5-48FA-BD49-2A24888B2F77}"/>
    <cellStyle name="Comma 4 2 2 2 2 2 3 2 3" xfId="11806" xr:uid="{689241AA-FF7E-42A4-AAD6-2160B2BAC13C}"/>
    <cellStyle name="Comma 4 2 2 2 2 2 3 2 4" xfId="20254" xr:uid="{697FE8D8-01E0-4F64-A379-0283877B1C4C}"/>
    <cellStyle name="Comma 4 2 2 2 2 2 3 3" xfId="5429" xr:uid="{00000000-0005-0000-0000-0000AE070000}"/>
    <cellStyle name="Comma 4 2 2 2 2 2 3 3 2" xfId="13879" xr:uid="{B88CB0BC-E765-498F-8512-3E30F87BBF30}"/>
    <cellStyle name="Comma 4 2 2 2 2 2 3 3 3" xfId="22326" xr:uid="{5DAB02B7-2C7D-4542-A503-DE3CC870FA0E}"/>
    <cellStyle name="Comma 4 2 2 2 2 2 3 4" xfId="9661" xr:uid="{F69683FF-6492-4D00-A40F-8D54B059E5D8}"/>
    <cellStyle name="Comma 4 2 2 2 2 2 3 5" xfId="18109" xr:uid="{22E742EB-95CF-4841-8B4A-AC6C1DEE7DBF}"/>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2 2 2" xfId="16437" xr:uid="{B4A38C84-9021-48F3-9531-9087F3B00BFA}"/>
    <cellStyle name="Comma 4 2 2 2 2 2 4 2 2 3" xfId="24884" xr:uid="{92C7E81F-65FB-45AB-9C85-6F8D2AFB830E}"/>
    <cellStyle name="Comma 4 2 2 2 2 2 4 2 3" xfId="12219" xr:uid="{C5C11440-64DD-4C95-B62E-B8F18BAA7306}"/>
    <cellStyle name="Comma 4 2 2 2 2 2 4 2 4" xfId="20667" xr:uid="{20B73CA0-187C-4B4D-8245-3EB2F0265FA9}"/>
    <cellStyle name="Comma 4 2 2 2 2 2 4 3" xfId="5842" xr:uid="{00000000-0005-0000-0000-0000B2070000}"/>
    <cellStyle name="Comma 4 2 2 2 2 2 4 3 2" xfId="14292" xr:uid="{1FD8A1DC-A144-4CC3-9876-2989B7EE3349}"/>
    <cellStyle name="Comma 4 2 2 2 2 2 4 3 3" xfId="22739" xr:uid="{49717A5D-17CC-4B95-95F3-815E8BB3AE94}"/>
    <cellStyle name="Comma 4 2 2 2 2 2 4 4" xfId="10074" xr:uid="{A2CC0CC9-2500-438A-B8D3-BFD6A1E80460}"/>
    <cellStyle name="Comma 4 2 2 2 2 2 4 5" xfId="18522" xr:uid="{A8B34162-EE3C-47F5-848A-588F05069984}"/>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2 2 2" xfId="16850" xr:uid="{51FAA5E4-5960-4812-B646-2FEDAE8CA44D}"/>
    <cellStyle name="Comma 4 2 2 2 2 2 5 2 2 3" xfId="25297" xr:uid="{B22607E8-0071-4353-9C75-9E91BB98B099}"/>
    <cellStyle name="Comma 4 2 2 2 2 2 5 2 3" xfId="12632" xr:uid="{C7A9B3AF-532A-4FF5-A58E-E00192B1A999}"/>
    <cellStyle name="Comma 4 2 2 2 2 2 5 2 4" xfId="21080" xr:uid="{B33D9C94-DC30-4FBE-90FF-DBA09CA6DBC4}"/>
    <cellStyle name="Comma 4 2 2 2 2 2 5 3" xfId="6255" xr:uid="{00000000-0005-0000-0000-0000B6070000}"/>
    <cellStyle name="Comma 4 2 2 2 2 2 5 3 2" xfId="14705" xr:uid="{283FF83D-6B82-43A8-A1C5-82B1778DE0B1}"/>
    <cellStyle name="Comma 4 2 2 2 2 2 5 3 3" xfId="23152" xr:uid="{EC299BF3-98A7-4305-985E-204B2D770405}"/>
    <cellStyle name="Comma 4 2 2 2 2 2 5 4" xfId="10487" xr:uid="{2C2EF31A-F309-4DED-84FD-9E64337C3E5F}"/>
    <cellStyle name="Comma 4 2 2 2 2 2 5 5" xfId="18935" xr:uid="{BA15276F-A1C6-4D50-BE65-550B3946FFA1}"/>
    <cellStyle name="Comma 4 2 2 2 2 2 6" xfId="2384" xr:uid="{00000000-0005-0000-0000-0000B7070000}"/>
    <cellStyle name="Comma 4 2 2 2 2 2 6 2" xfId="6668" xr:uid="{00000000-0005-0000-0000-0000B8070000}"/>
    <cellStyle name="Comma 4 2 2 2 2 2 6 2 2" xfId="15118" xr:uid="{0B5291BE-FF43-4E7F-B819-16E3F0539DEE}"/>
    <cellStyle name="Comma 4 2 2 2 2 2 6 2 3" xfId="23565" xr:uid="{54EF97EE-A743-4FDB-91A3-A56D92E8AC41}"/>
    <cellStyle name="Comma 4 2 2 2 2 2 6 3" xfId="10900" xr:uid="{911EA4F4-2E3B-4A1F-B252-B706D53FDE11}"/>
    <cellStyle name="Comma 4 2 2 2 2 2 6 4" xfId="19348" xr:uid="{073B8AFE-F444-4997-ABB6-9028FAE5A26A}"/>
    <cellStyle name="Comma 4 2 2 2 2 2 7" xfId="2379" xr:uid="{00000000-0005-0000-0000-0000B9070000}"/>
    <cellStyle name="Comma 4 2 2 2 2 2 8" xfId="2762" xr:uid="{00000000-0005-0000-0000-0000BA070000}"/>
    <cellStyle name="Comma 4 2 2 2 2 2 8 2" xfId="6985" xr:uid="{00000000-0005-0000-0000-0000BB070000}"/>
    <cellStyle name="Comma 4 2 2 2 2 2 8 2 2" xfId="15435" xr:uid="{7BD53F79-ED06-4D2E-B475-9AE6211CE464}"/>
    <cellStyle name="Comma 4 2 2 2 2 2 8 2 3" xfId="23882" xr:uid="{94F68B65-EF6C-441B-BF9D-B4443F2B44D2}"/>
    <cellStyle name="Comma 4 2 2 2 2 2 8 3" xfId="11217" xr:uid="{5CB15D0C-252F-477C-A8D3-55686064511B}"/>
    <cellStyle name="Comma 4 2 2 2 2 2 8 4" xfId="19665" xr:uid="{70031B99-1A97-49BE-BE6E-5CA51D96E161}"/>
    <cellStyle name="Comma 4 2 2 2 2 2 9" xfId="4602" xr:uid="{00000000-0005-0000-0000-0000BC070000}"/>
    <cellStyle name="Comma 4 2 2 2 2 2 9 2" xfId="13052" xr:uid="{176FA470-758E-47CB-A531-3AC95474D7EB}"/>
    <cellStyle name="Comma 4 2 2 2 2 2 9 3" xfId="21499" xr:uid="{854A5BB1-0CA4-49A3-80E0-FB4B3BD921B4}"/>
    <cellStyle name="Comma 4 2 2 2 2 3" xfId="667" xr:uid="{00000000-0005-0000-0000-0000BD070000}"/>
    <cellStyle name="Comma 4 2 2 2 2 3 2" xfId="2938" xr:uid="{00000000-0005-0000-0000-0000BE070000}"/>
    <cellStyle name="Comma 4 2 2 2 2 3 2 2" xfId="7160" xr:uid="{00000000-0005-0000-0000-0000BF070000}"/>
    <cellStyle name="Comma 4 2 2 2 2 3 2 2 2" xfId="15610" xr:uid="{85187E9E-90C2-47EE-9EDC-F5E35F83236F}"/>
    <cellStyle name="Comma 4 2 2 2 2 3 2 2 3" xfId="24057" xr:uid="{89B4D41A-0AB3-4DBF-81F7-4E3D22F7EF11}"/>
    <cellStyle name="Comma 4 2 2 2 2 3 2 3" xfId="11392" xr:uid="{1345231B-C2A5-4903-973A-75C02AF28D40}"/>
    <cellStyle name="Comma 4 2 2 2 2 3 2 4" xfId="19840" xr:uid="{D38F0556-F441-4650-8782-84A4BD50AC63}"/>
    <cellStyle name="Comma 4 2 2 2 2 3 3" xfId="5015" xr:uid="{00000000-0005-0000-0000-0000C0070000}"/>
    <cellStyle name="Comma 4 2 2 2 2 3 3 2" xfId="13465" xr:uid="{8EC9E818-BF18-4B56-8152-FEE5C02A7867}"/>
    <cellStyle name="Comma 4 2 2 2 2 3 3 3" xfId="21912" xr:uid="{7CD19207-1434-4A06-B52C-54025D448E80}"/>
    <cellStyle name="Comma 4 2 2 2 2 3 4" xfId="9247" xr:uid="{8D97BCDB-59ED-46E3-A167-C06517C83E3C}"/>
    <cellStyle name="Comma 4 2 2 2 2 3 5" xfId="17695" xr:uid="{64BCD577-98B4-40F1-AB4B-EB18EDD836FF}"/>
    <cellStyle name="Comma 4 2 2 2 2 4" xfId="1120" xr:uid="{00000000-0005-0000-0000-0000C1070000}"/>
    <cellStyle name="Comma 4 2 2 2 2 4 2" xfId="3351" xr:uid="{00000000-0005-0000-0000-0000C2070000}"/>
    <cellStyle name="Comma 4 2 2 2 2 4 2 2" xfId="7573" xr:uid="{00000000-0005-0000-0000-0000C3070000}"/>
    <cellStyle name="Comma 4 2 2 2 2 4 2 2 2" xfId="16023" xr:uid="{80ED12F8-06F7-497A-98E4-9E756100302A}"/>
    <cellStyle name="Comma 4 2 2 2 2 4 2 2 3" xfId="24470" xr:uid="{197CD879-3A27-45AF-8A1A-E893C41C993B}"/>
    <cellStyle name="Comma 4 2 2 2 2 4 2 3" xfId="11805" xr:uid="{632997F2-A6E0-4863-9DBD-5ADC4409BDD6}"/>
    <cellStyle name="Comma 4 2 2 2 2 4 2 4" xfId="20253" xr:uid="{5330C175-1145-41B6-AA6F-615DD92AA6EA}"/>
    <cellStyle name="Comma 4 2 2 2 2 4 3" xfId="5428" xr:uid="{00000000-0005-0000-0000-0000C4070000}"/>
    <cellStyle name="Comma 4 2 2 2 2 4 3 2" xfId="13878" xr:uid="{946EFF73-120A-4DD6-BB2E-7D859586FE66}"/>
    <cellStyle name="Comma 4 2 2 2 2 4 3 3" xfId="22325" xr:uid="{8F08DC3E-2E39-4BB6-B348-B2102A87D17C}"/>
    <cellStyle name="Comma 4 2 2 2 2 4 4" xfId="9660" xr:uid="{80BC8AA2-39C2-40CC-8281-B277966942BC}"/>
    <cellStyle name="Comma 4 2 2 2 2 4 5" xfId="18108" xr:uid="{76F3272C-BA5E-4FBD-A724-6668DD89007C}"/>
    <cellStyle name="Comma 4 2 2 2 2 5" xfId="1534" xr:uid="{00000000-0005-0000-0000-0000C5070000}"/>
    <cellStyle name="Comma 4 2 2 2 2 5 2" xfId="3764" xr:uid="{00000000-0005-0000-0000-0000C6070000}"/>
    <cellStyle name="Comma 4 2 2 2 2 5 2 2" xfId="7986" xr:uid="{00000000-0005-0000-0000-0000C7070000}"/>
    <cellStyle name="Comma 4 2 2 2 2 5 2 2 2" xfId="16436" xr:uid="{652FA8DC-E9A8-4B59-BBA3-7BBF9AB60F38}"/>
    <cellStyle name="Comma 4 2 2 2 2 5 2 2 3" xfId="24883" xr:uid="{6E1FA46B-5858-4F20-8675-70DF4BDEFF22}"/>
    <cellStyle name="Comma 4 2 2 2 2 5 2 3" xfId="12218" xr:uid="{7838C11B-6A21-4851-AFA2-BD4388142552}"/>
    <cellStyle name="Comma 4 2 2 2 2 5 2 4" xfId="20666" xr:uid="{A72579D0-FFA8-4A06-B2F1-FE8B17375271}"/>
    <cellStyle name="Comma 4 2 2 2 2 5 3" xfId="5841" xr:uid="{00000000-0005-0000-0000-0000C8070000}"/>
    <cellStyle name="Comma 4 2 2 2 2 5 3 2" xfId="14291" xr:uid="{ECDCFEE9-8A45-4E4B-B85C-5B8F9F5C79F5}"/>
    <cellStyle name="Comma 4 2 2 2 2 5 3 3" xfId="22738" xr:uid="{64CB6F25-4270-4CC4-84BE-C06A1E75F082}"/>
    <cellStyle name="Comma 4 2 2 2 2 5 4" xfId="10073" xr:uid="{EA434BB8-1445-46FE-AEAB-7F2146A782AF}"/>
    <cellStyle name="Comma 4 2 2 2 2 5 5" xfId="18521" xr:uid="{C16ABEBE-4CC1-46B5-A864-2AE0038184F1}"/>
    <cellStyle name="Comma 4 2 2 2 2 6" xfId="1948" xr:uid="{00000000-0005-0000-0000-0000C9070000}"/>
    <cellStyle name="Comma 4 2 2 2 2 6 2" xfId="4177" xr:uid="{00000000-0005-0000-0000-0000CA070000}"/>
    <cellStyle name="Comma 4 2 2 2 2 6 2 2" xfId="8399" xr:uid="{00000000-0005-0000-0000-0000CB070000}"/>
    <cellStyle name="Comma 4 2 2 2 2 6 2 2 2" xfId="16849" xr:uid="{B18FE4B7-87D7-42F5-9031-FFAA23619722}"/>
    <cellStyle name="Comma 4 2 2 2 2 6 2 2 3" xfId="25296" xr:uid="{380DF201-D5F8-4906-A428-1A10CD4302F6}"/>
    <cellStyle name="Comma 4 2 2 2 2 6 2 3" xfId="12631" xr:uid="{743F1787-6FEA-442B-A92B-8581D2E820F2}"/>
    <cellStyle name="Comma 4 2 2 2 2 6 2 4" xfId="21079" xr:uid="{2F34E69D-B6F6-48E1-99BC-C5BE3DCB08A8}"/>
    <cellStyle name="Comma 4 2 2 2 2 6 3" xfId="6254" xr:uid="{00000000-0005-0000-0000-0000CC070000}"/>
    <cellStyle name="Comma 4 2 2 2 2 6 3 2" xfId="14704" xr:uid="{FEB5FF75-9FE0-4623-8065-569B200D8105}"/>
    <cellStyle name="Comma 4 2 2 2 2 6 3 3" xfId="23151" xr:uid="{26A775FE-9684-4B6A-8A91-5A32446DCBF6}"/>
    <cellStyle name="Comma 4 2 2 2 2 6 4" xfId="10486" xr:uid="{5608629E-91B4-4068-A2EE-77256FDD305B}"/>
    <cellStyle name="Comma 4 2 2 2 2 6 5" xfId="18934" xr:uid="{9F030A80-D10D-4EC7-844D-B251974406A9}"/>
    <cellStyle name="Comma 4 2 2 2 2 7" xfId="2383" xr:uid="{00000000-0005-0000-0000-0000CD070000}"/>
    <cellStyle name="Comma 4 2 2 2 2 7 2" xfId="6667" xr:uid="{00000000-0005-0000-0000-0000CE070000}"/>
    <cellStyle name="Comma 4 2 2 2 2 7 2 2" xfId="15117" xr:uid="{E5DD46B7-8632-4488-8057-4BD3DE63F9EE}"/>
    <cellStyle name="Comma 4 2 2 2 2 7 2 3" xfId="23564" xr:uid="{80256A8D-0600-47EA-9BAD-1B102FDF449D}"/>
    <cellStyle name="Comma 4 2 2 2 2 7 3" xfId="10899" xr:uid="{59CEF1D8-0993-49EB-AC4B-86BBB8ACEA21}"/>
    <cellStyle name="Comma 4 2 2 2 2 7 4" xfId="19347" xr:uid="{6019C8C2-4231-4A15-934C-1D382FCF3A7A}"/>
    <cellStyle name="Comma 4 2 2 2 2 8" xfId="2380" xr:uid="{00000000-0005-0000-0000-0000CF070000}"/>
    <cellStyle name="Comma 4 2 2 2 2 9" xfId="2761" xr:uid="{00000000-0005-0000-0000-0000D0070000}"/>
    <cellStyle name="Comma 4 2 2 2 2 9 2" xfId="6984" xr:uid="{00000000-0005-0000-0000-0000D1070000}"/>
    <cellStyle name="Comma 4 2 2 2 2 9 2 2" xfId="15434" xr:uid="{EFA68814-D161-464F-92EF-F1BC48B130C8}"/>
    <cellStyle name="Comma 4 2 2 2 2 9 2 3" xfId="23881" xr:uid="{BFB27B40-0293-4323-90B6-AA4F548D2791}"/>
    <cellStyle name="Comma 4 2 2 2 2 9 3" xfId="11216" xr:uid="{1ED12D2E-36E8-4F5B-B566-F9EB40B60D26}"/>
    <cellStyle name="Comma 4 2 2 2 2 9 4" xfId="19664" xr:uid="{34B8FA49-B0E5-434C-AE51-CF7F586069CB}"/>
    <cellStyle name="Comma 4 2 2 2 3" xfId="131" xr:uid="{00000000-0005-0000-0000-0000D2070000}"/>
    <cellStyle name="Comma 4 2 2 2 3 10" xfId="8835" xr:uid="{A6714E32-25B3-4DA8-BBC8-56C24BFC92C1}"/>
    <cellStyle name="Comma 4 2 2 2 3 11" xfId="17283" xr:uid="{87EF6BF6-4D3D-4890-B581-BC08279EC9BF}"/>
    <cellStyle name="Comma 4 2 2 2 3 2" xfId="669" xr:uid="{00000000-0005-0000-0000-0000D3070000}"/>
    <cellStyle name="Comma 4 2 2 2 3 2 2" xfId="2940" xr:uid="{00000000-0005-0000-0000-0000D4070000}"/>
    <cellStyle name="Comma 4 2 2 2 3 2 2 2" xfId="7162" xr:uid="{00000000-0005-0000-0000-0000D5070000}"/>
    <cellStyle name="Comma 4 2 2 2 3 2 2 2 2" xfId="15612" xr:uid="{0F9D45D3-D39A-42FC-AFF5-CD537082C8A9}"/>
    <cellStyle name="Comma 4 2 2 2 3 2 2 2 3" xfId="24059" xr:uid="{51FD08BE-EC0A-4CD0-A6E3-24661B9ACFBC}"/>
    <cellStyle name="Comma 4 2 2 2 3 2 2 3" xfId="11394" xr:uid="{2FF3A808-5FC3-43DF-8782-4ECC4DC20106}"/>
    <cellStyle name="Comma 4 2 2 2 3 2 2 4" xfId="19842" xr:uid="{0CAD6CAD-5F13-4B26-8C17-205356AE3736}"/>
    <cellStyle name="Comma 4 2 2 2 3 2 3" xfId="5017" xr:uid="{00000000-0005-0000-0000-0000D6070000}"/>
    <cellStyle name="Comma 4 2 2 2 3 2 3 2" xfId="13467" xr:uid="{40663BFA-C016-47AC-B4A8-F704E8A91984}"/>
    <cellStyle name="Comma 4 2 2 2 3 2 3 3" xfId="21914" xr:uid="{BE759215-4C9A-4A65-8B64-B82DE9B50173}"/>
    <cellStyle name="Comma 4 2 2 2 3 2 4" xfId="9249" xr:uid="{23BE0BEA-349D-4AFE-817C-5B371D3CA115}"/>
    <cellStyle name="Comma 4 2 2 2 3 2 5" xfId="17697" xr:uid="{ABA3C2D6-7130-4799-874B-1F27DB0B9A81}"/>
    <cellStyle name="Comma 4 2 2 2 3 3" xfId="1122" xr:uid="{00000000-0005-0000-0000-0000D7070000}"/>
    <cellStyle name="Comma 4 2 2 2 3 3 2" xfId="3353" xr:uid="{00000000-0005-0000-0000-0000D8070000}"/>
    <cellStyle name="Comma 4 2 2 2 3 3 2 2" xfId="7575" xr:uid="{00000000-0005-0000-0000-0000D9070000}"/>
    <cellStyle name="Comma 4 2 2 2 3 3 2 2 2" xfId="16025" xr:uid="{4ADD7DB4-10AF-4EE0-9E18-CD28413FBC71}"/>
    <cellStyle name="Comma 4 2 2 2 3 3 2 2 3" xfId="24472" xr:uid="{DCBBD27F-D9C1-4BF3-B31C-DEB00B826135}"/>
    <cellStyle name="Comma 4 2 2 2 3 3 2 3" xfId="11807" xr:uid="{EF15A5C5-21C7-4332-8ADF-A75070106B6E}"/>
    <cellStyle name="Comma 4 2 2 2 3 3 2 4" xfId="20255" xr:uid="{3CF4D762-62F1-4674-91F0-2379D7E87E31}"/>
    <cellStyle name="Comma 4 2 2 2 3 3 3" xfId="5430" xr:uid="{00000000-0005-0000-0000-0000DA070000}"/>
    <cellStyle name="Comma 4 2 2 2 3 3 3 2" xfId="13880" xr:uid="{EF71022B-0085-42D6-ADD9-441F0F2B12F7}"/>
    <cellStyle name="Comma 4 2 2 2 3 3 3 3" xfId="22327" xr:uid="{B335F97C-4A7F-425F-AE20-00C36651D863}"/>
    <cellStyle name="Comma 4 2 2 2 3 3 4" xfId="9662" xr:uid="{4051E043-BD67-4375-9574-7C1B3CF314A7}"/>
    <cellStyle name="Comma 4 2 2 2 3 3 5" xfId="18110" xr:uid="{C43F1191-338E-4E25-8D3E-EB55CA8848D0}"/>
    <cellStyle name="Comma 4 2 2 2 3 4" xfId="1536" xr:uid="{00000000-0005-0000-0000-0000DB070000}"/>
    <cellStyle name="Comma 4 2 2 2 3 4 2" xfId="3766" xr:uid="{00000000-0005-0000-0000-0000DC070000}"/>
    <cellStyle name="Comma 4 2 2 2 3 4 2 2" xfId="7988" xr:uid="{00000000-0005-0000-0000-0000DD070000}"/>
    <cellStyle name="Comma 4 2 2 2 3 4 2 2 2" xfId="16438" xr:uid="{2B342CCB-DD7E-4CA7-814B-F1A35CDCDD19}"/>
    <cellStyle name="Comma 4 2 2 2 3 4 2 2 3" xfId="24885" xr:uid="{40CDBE25-813C-46C9-9824-8C79D6B1FF1F}"/>
    <cellStyle name="Comma 4 2 2 2 3 4 2 3" xfId="12220" xr:uid="{A5187946-15F4-4422-9EE9-D48BAE0657AC}"/>
    <cellStyle name="Comma 4 2 2 2 3 4 2 4" xfId="20668" xr:uid="{28FF9C1D-F6C3-4C5A-9E48-54DD65A5DFBB}"/>
    <cellStyle name="Comma 4 2 2 2 3 4 3" xfId="5843" xr:uid="{00000000-0005-0000-0000-0000DE070000}"/>
    <cellStyle name="Comma 4 2 2 2 3 4 3 2" xfId="14293" xr:uid="{83826484-9960-4CAA-9F4A-ADA420E3016A}"/>
    <cellStyle name="Comma 4 2 2 2 3 4 3 3" xfId="22740" xr:uid="{2F56C066-940D-49D8-B40B-E6E468C1DECB}"/>
    <cellStyle name="Comma 4 2 2 2 3 4 4" xfId="10075" xr:uid="{57814FA5-05C2-489F-A0CC-5EF2D5521D7D}"/>
    <cellStyle name="Comma 4 2 2 2 3 4 5" xfId="18523" xr:uid="{E672A5C1-E6D8-42BD-8EA9-7E27A2F82153}"/>
    <cellStyle name="Comma 4 2 2 2 3 5" xfId="1950" xr:uid="{00000000-0005-0000-0000-0000DF070000}"/>
    <cellStyle name="Comma 4 2 2 2 3 5 2" xfId="4179" xr:uid="{00000000-0005-0000-0000-0000E0070000}"/>
    <cellStyle name="Comma 4 2 2 2 3 5 2 2" xfId="8401" xr:uid="{00000000-0005-0000-0000-0000E1070000}"/>
    <cellStyle name="Comma 4 2 2 2 3 5 2 2 2" xfId="16851" xr:uid="{9DB452C0-AE9F-4FE9-8E98-6506FE44EC48}"/>
    <cellStyle name="Comma 4 2 2 2 3 5 2 2 3" xfId="25298" xr:uid="{9AD83601-54FF-47F5-83C2-16B18431F28A}"/>
    <cellStyle name="Comma 4 2 2 2 3 5 2 3" xfId="12633" xr:uid="{AA9FAFE5-8803-41BC-9589-A3F1D5DFC5D2}"/>
    <cellStyle name="Comma 4 2 2 2 3 5 2 4" xfId="21081" xr:uid="{CB513B7D-D036-4D5B-A936-6066101B2B80}"/>
    <cellStyle name="Comma 4 2 2 2 3 5 3" xfId="6256" xr:uid="{00000000-0005-0000-0000-0000E2070000}"/>
    <cellStyle name="Comma 4 2 2 2 3 5 3 2" xfId="14706" xr:uid="{760C0534-3959-4BC8-8A6E-3F040235E93B}"/>
    <cellStyle name="Comma 4 2 2 2 3 5 3 3" xfId="23153" xr:uid="{A8850E11-17B9-4353-BAB9-02219ACAC175}"/>
    <cellStyle name="Comma 4 2 2 2 3 5 4" xfId="10488" xr:uid="{CA335005-76D3-4D37-9F0F-89E8527F16B8}"/>
    <cellStyle name="Comma 4 2 2 2 3 5 5" xfId="18936" xr:uid="{F49EFDC4-94CE-411F-8DE7-E578D1D7D291}"/>
    <cellStyle name="Comma 4 2 2 2 3 6" xfId="2385" xr:uid="{00000000-0005-0000-0000-0000E3070000}"/>
    <cellStyle name="Comma 4 2 2 2 3 6 2" xfId="6669" xr:uid="{00000000-0005-0000-0000-0000E4070000}"/>
    <cellStyle name="Comma 4 2 2 2 3 6 2 2" xfId="15119" xr:uid="{CD26875B-9C41-4213-B802-011F14C53A89}"/>
    <cellStyle name="Comma 4 2 2 2 3 6 2 3" xfId="23566" xr:uid="{9CEB06C0-B0E1-4AFE-8165-16EDD4D0D32B}"/>
    <cellStyle name="Comma 4 2 2 2 3 6 3" xfId="10901" xr:uid="{5F8587AE-97D7-46A2-9072-48D26CA72194}"/>
    <cellStyle name="Comma 4 2 2 2 3 6 4" xfId="19349" xr:uid="{E3D17720-F66C-44B6-A100-BEEF5FED02EC}"/>
    <cellStyle name="Comma 4 2 2 2 3 7" xfId="2378" xr:uid="{00000000-0005-0000-0000-0000E5070000}"/>
    <cellStyle name="Comma 4 2 2 2 3 8" xfId="2763" xr:uid="{00000000-0005-0000-0000-0000E6070000}"/>
    <cellStyle name="Comma 4 2 2 2 3 8 2" xfId="6986" xr:uid="{00000000-0005-0000-0000-0000E7070000}"/>
    <cellStyle name="Comma 4 2 2 2 3 8 2 2" xfId="15436" xr:uid="{A2F31ECD-AE62-4C9F-9BB9-28B56B225B1C}"/>
    <cellStyle name="Comma 4 2 2 2 3 8 2 3" xfId="23883" xr:uid="{955E2464-651A-4D16-9ED4-B77D0841B1CD}"/>
    <cellStyle name="Comma 4 2 2 2 3 8 3" xfId="11218" xr:uid="{0A2729DF-F60E-4F8F-A0AD-3FF684A70B10}"/>
    <cellStyle name="Comma 4 2 2 2 3 8 4" xfId="19666" xr:uid="{0E78B182-C5A7-4042-8BE8-C1E1FFE668F3}"/>
    <cellStyle name="Comma 4 2 2 2 3 9" xfId="4603" xr:uid="{00000000-0005-0000-0000-0000E8070000}"/>
    <cellStyle name="Comma 4 2 2 2 3 9 2" xfId="13053" xr:uid="{2ED15C6D-53DD-4A62-891D-DA9B016326C8}"/>
    <cellStyle name="Comma 4 2 2 2 3 9 3" xfId="21500" xr:uid="{6A8AEC9B-8D7D-4F1A-ABF0-EF36259AA83B}"/>
    <cellStyle name="Comma 4 2 2 2 4" xfId="666" xr:uid="{00000000-0005-0000-0000-0000E9070000}"/>
    <cellStyle name="Comma 4 2 2 2 4 2" xfId="2937" xr:uid="{00000000-0005-0000-0000-0000EA070000}"/>
    <cellStyle name="Comma 4 2 2 2 4 2 2" xfId="7159" xr:uid="{00000000-0005-0000-0000-0000EB070000}"/>
    <cellStyle name="Comma 4 2 2 2 4 2 2 2" xfId="15609" xr:uid="{978B1939-5BFC-49AF-9956-56EAE4233965}"/>
    <cellStyle name="Comma 4 2 2 2 4 2 2 3" xfId="24056" xr:uid="{0A570235-C839-48AE-867C-A0C914699A10}"/>
    <cellStyle name="Comma 4 2 2 2 4 2 3" xfId="11391" xr:uid="{9ECB81F8-70B0-4372-A722-089192897859}"/>
    <cellStyle name="Comma 4 2 2 2 4 2 4" xfId="19839" xr:uid="{80143D88-61F6-4725-A4B9-9998A682FC2A}"/>
    <cellStyle name="Comma 4 2 2 2 4 3" xfId="5014" xr:uid="{00000000-0005-0000-0000-0000EC070000}"/>
    <cellStyle name="Comma 4 2 2 2 4 3 2" xfId="13464" xr:uid="{80789F2F-372D-444F-A43D-30E57CB7DA28}"/>
    <cellStyle name="Comma 4 2 2 2 4 3 3" xfId="21911" xr:uid="{9912864D-A8E9-4629-B341-6E0D17F3EC45}"/>
    <cellStyle name="Comma 4 2 2 2 4 4" xfId="9246" xr:uid="{215BE82C-F0AB-46F8-8E20-CD2E72E9F1BB}"/>
    <cellStyle name="Comma 4 2 2 2 4 5" xfId="17694" xr:uid="{6F11F680-649B-4922-B6B8-64A39CB2111B}"/>
    <cellStyle name="Comma 4 2 2 2 5" xfId="1119" xr:uid="{00000000-0005-0000-0000-0000ED070000}"/>
    <cellStyle name="Comma 4 2 2 2 5 2" xfId="3350" xr:uid="{00000000-0005-0000-0000-0000EE070000}"/>
    <cellStyle name="Comma 4 2 2 2 5 2 2" xfId="7572" xr:uid="{00000000-0005-0000-0000-0000EF070000}"/>
    <cellStyle name="Comma 4 2 2 2 5 2 2 2" xfId="16022" xr:uid="{6A954F80-04B5-4EF7-8031-33E80EE9C0DE}"/>
    <cellStyle name="Comma 4 2 2 2 5 2 2 3" xfId="24469" xr:uid="{586B3C21-CA9E-44E6-BB27-5485F984BA6D}"/>
    <cellStyle name="Comma 4 2 2 2 5 2 3" xfId="11804" xr:uid="{F0509065-3F7B-4469-A915-E93509BC3337}"/>
    <cellStyle name="Comma 4 2 2 2 5 2 4" xfId="20252" xr:uid="{5906E3CF-E868-408A-AE0C-1BC44461DE4F}"/>
    <cellStyle name="Comma 4 2 2 2 5 3" xfId="5427" xr:uid="{00000000-0005-0000-0000-0000F0070000}"/>
    <cellStyle name="Comma 4 2 2 2 5 3 2" xfId="13877" xr:uid="{336BACA6-586C-4325-B003-8CFD52D749D2}"/>
    <cellStyle name="Comma 4 2 2 2 5 3 3" xfId="22324" xr:uid="{119D93F4-1094-40F3-A6BB-9BC287851676}"/>
    <cellStyle name="Comma 4 2 2 2 5 4" xfId="9659" xr:uid="{D33C0432-921A-4D26-B59E-32E2206EA815}"/>
    <cellStyle name="Comma 4 2 2 2 5 5" xfId="18107" xr:uid="{718EE167-99C0-4E19-89FA-F50B0D817DBA}"/>
    <cellStyle name="Comma 4 2 2 2 6" xfId="1533" xr:uid="{00000000-0005-0000-0000-0000F1070000}"/>
    <cellStyle name="Comma 4 2 2 2 6 2" xfId="3763" xr:uid="{00000000-0005-0000-0000-0000F2070000}"/>
    <cellStyle name="Comma 4 2 2 2 6 2 2" xfId="7985" xr:uid="{00000000-0005-0000-0000-0000F3070000}"/>
    <cellStyle name="Comma 4 2 2 2 6 2 2 2" xfId="16435" xr:uid="{97E42F3A-A80E-40B6-8B91-C9DFE9D45764}"/>
    <cellStyle name="Comma 4 2 2 2 6 2 2 3" xfId="24882" xr:uid="{70FB739A-2B62-49CC-907C-5A02F5C1DA4A}"/>
    <cellStyle name="Comma 4 2 2 2 6 2 3" xfId="12217" xr:uid="{4BE2CB57-4CFE-49CC-828E-9F1B6C0F3287}"/>
    <cellStyle name="Comma 4 2 2 2 6 2 4" xfId="20665" xr:uid="{3995335A-D858-48F5-A5BE-346BA3563C5C}"/>
    <cellStyle name="Comma 4 2 2 2 6 3" xfId="5840" xr:uid="{00000000-0005-0000-0000-0000F4070000}"/>
    <cellStyle name="Comma 4 2 2 2 6 3 2" xfId="14290" xr:uid="{DCEAA239-0265-4966-9E46-C3F477C9AF78}"/>
    <cellStyle name="Comma 4 2 2 2 6 3 3" xfId="22737" xr:uid="{F5FBF460-930A-4835-B4A5-0393562A1EC6}"/>
    <cellStyle name="Comma 4 2 2 2 6 4" xfId="10072" xr:uid="{BF8B8025-3954-45C4-B2D4-723512401B7D}"/>
    <cellStyle name="Comma 4 2 2 2 6 5" xfId="18520" xr:uid="{9EA1A783-33A9-491B-92B8-C6BE251315E3}"/>
    <cellStyle name="Comma 4 2 2 2 7" xfId="1947" xr:uid="{00000000-0005-0000-0000-0000F5070000}"/>
    <cellStyle name="Comma 4 2 2 2 7 2" xfId="4176" xr:uid="{00000000-0005-0000-0000-0000F6070000}"/>
    <cellStyle name="Comma 4 2 2 2 7 2 2" xfId="8398" xr:uid="{00000000-0005-0000-0000-0000F7070000}"/>
    <cellStyle name="Comma 4 2 2 2 7 2 2 2" xfId="16848" xr:uid="{77EC0FBD-5D52-457F-846E-0D1623F0BDC9}"/>
    <cellStyle name="Comma 4 2 2 2 7 2 2 3" xfId="25295" xr:uid="{D180B8AD-CF5A-45D5-AAB5-18229E5AED75}"/>
    <cellStyle name="Comma 4 2 2 2 7 2 3" xfId="12630" xr:uid="{75D4E347-A397-4D14-83C3-AC18F2EF2547}"/>
    <cellStyle name="Comma 4 2 2 2 7 2 4" xfId="21078" xr:uid="{0891510D-25E2-46F3-ACB3-EA99C69016B2}"/>
    <cellStyle name="Comma 4 2 2 2 7 3" xfId="6253" xr:uid="{00000000-0005-0000-0000-0000F8070000}"/>
    <cellStyle name="Comma 4 2 2 2 7 3 2" xfId="14703" xr:uid="{9EEBFF73-AAED-4E64-97BE-E73E06C9A7C8}"/>
    <cellStyle name="Comma 4 2 2 2 7 3 3" xfId="23150" xr:uid="{81203184-72EB-40F3-AA8D-5617CCB18A9E}"/>
    <cellStyle name="Comma 4 2 2 2 7 4" xfId="10485" xr:uid="{5597BC82-3A6C-43EE-9E2E-68D4C79E03B1}"/>
    <cellStyle name="Comma 4 2 2 2 7 5" xfId="18933" xr:uid="{F852E93A-40A2-4ACE-B54D-E5A67C5A15EE}"/>
    <cellStyle name="Comma 4 2 2 2 8" xfId="2382" xr:uid="{00000000-0005-0000-0000-0000F9070000}"/>
    <cellStyle name="Comma 4 2 2 2 8 2" xfId="6666" xr:uid="{00000000-0005-0000-0000-0000FA070000}"/>
    <cellStyle name="Comma 4 2 2 2 8 2 2" xfId="15116" xr:uid="{CCA4A864-547C-474F-89AF-A84E4F09A062}"/>
    <cellStyle name="Comma 4 2 2 2 8 2 3" xfId="23563" xr:uid="{7BACCBDE-FB9F-4FC2-ACEA-CFB97B72C318}"/>
    <cellStyle name="Comma 4 2 2 2 8 3" xfId="10898" xr:uid="{36111D85-73CE-4D81-ACB2-2479A5DFF3B4}"/>
    <cellStyle name="Comma 4 2 2 2 8 4" xfId="19346" xr:uid="{E851D2C1-141B-42EE-8159-ED08E74BD45A}"/>
    <cellStyle name="Comma 4 2 2 2 9" xfId="2381" xr:uid="{00000000-0005-0000-0000-0000FB070000}"/>
    <cellStyle name="Comma 4 2 2 3" xfId="132" xr:uid="{00000000-0005-0000-0000-0000FC070000}"/>
    <cellStyle name="Comma 4 2 2 3 10" xfId="4604" xr:uid="{00000000-0005-0000-0000-0000FD070000}"/>
    <cellStyle name="Comma 4 2 2 3 10 2" xfId="13054" xr:uid="{D66F0B4E-90BB-4A27-868B-F790A30EEFC5}"/>
    <cellStyle name="Comma 4 2 2 3 10 3" xfId="21501" xr:uid="{9E3C393E-B085-4999-A3BE-5685371D495F}"/>
    <cellStyle name="Comma 4 2 2 3 11" xfId="8836" xr:uid="{B10F7724-187B-47CB-9A6F-53909753F09A}"/>
    <cellStyle name="Comma 4 2 2 3 12" xfId="17284" xr:uid="{488991AC-5938-4C42-BDB0-9CEF7DC02F3D}"/>
    <cellStyle name="Comma 4 2 2 3 2" xfId="133" xr:uid="{00000000-0005-0000-0000-0000FE070000}"/>
    <cellStyle name="Comma 4 2 2 3 2 10" xfId="8837" xr:uid="{0E1980B5-C870-4F58-A89A-2076219C3BC8}"/>
    <cellStyle name="Comma 4 2 2 3 2 11" xfId="17285" xr:uid="{87116309-045C-41B5-B361-3B4071D8444E}"/>
    <cellStyle name="Comma 4 2 2 3 2 2" xfId="671" xr:uid="{00000000-0005-0000-0000-0000FF070000}"/>
    <cellStyle name="Comma 4 2 2 3 2 2 2" xfId="2942" xr:uid="{00000000-0005-0000-0000-000000080000}"/>
    <cellStyle name="Comma 4 2 2 3 2 2 2 2" xfId="7164" xr:uid="{00000000-0005-0000-0000-000001080000}"/>
    <cellStyle name="Comma 4 2 2 3 2 2 2 2 2" xfId="15614" xr:uid="{3D7A4B98-12AE-4622-AA08-E0EB52A2BF4A}"/>
    <cellStyle name="Comma 4 2 2 3 2 2 2 2 3" xfId="24061" xr:uid="{F756535A-0468-41D6-B341-A669BD37679C}"/>
    <cellStyle name="Comma 4 2 2 3 2 2 2 3" xfId="11396" xr:uid="{97D866F6-E4AC-4D75-AE7D-087A13301A62}"/>
    <cellStyle name="Comma 4 2 2 3 2 2 2 4" xfId="19844" xr:uid="{BF7D1D94-56B9-4948-BD6D-C8DCF6AFFACD}"/>
    <cellStyle name="Comma 4 2 2 3 2 2 3" xfId="5019" xr:uid="{00000000-0005-0000-0000-000002080000}"/>
    <cellStyle name="Comma 4 2 2 3 2 2 3 2" xfId="13469" xr:uid="{E5CDF8C6-E650-4DBD-BFD4-7CCB0478F715}"/>
    <cellStyle name="Comma 4 2 2 3 2 2 3 3" xfId="21916" xr:uid="{8D02450A-276C-476A-AF4B-2648F493B696}"/>
    <cellStyle name="Comma 4 2 2 3 2 2 4" xfId="9251" xr:uid="{A6ACE6C1-6A2B-4D5D-92A1-6085355E0C42}"/>
    <cellStyle name="Comma 4 2 2 3 2 2 5" xfId="17699" xr:uid="{36E8929D-C3E7-4662-B9C5-B18445AA69E9}"/>
    <cellStyle name="Comma 4 2 2 3 2 3" xfId="1124" xr:uid="{00000000-0005-0000-0000-000003080000}"/>
    <cellStyle name="Comma 4 2 2 3 2 3 2" xfId="3355" xr:uid="{00000000-0005-0000-0000-000004080000}"/>
    <cellStyle name="Comma 4 2 2 3 2 3 2 2" xfId="7577" xr:uid="{00000000-0005-0000-0000-000005080000}"/>
    <cellStyle name="Comma 4 2 2 3 2 3 2 2 2" xfId="16027" xr:uid="{F5998758-2C42-40C8-8E4A-1B0F09CB1B77}"/>
    <cellStyle name="Comma 4 2 2 3 2 3 2 2 3" xfId="24474" xr:uid="{FBFB4214-4763-4746-8DEB-3B5262F4B3F3}"/>
    <cellStyle name="Comma 4 2 2 3 2 3 2 3" xfId="11809" xr:uid="{91FD7AF5-9B66-4D29-8763-6F83025EBFB9}"/>
    <cellStyle name="Comma 4 2 2 3 2 3 2 4" xfId="20257" xr:uid="{DBE105FB-DF4E-4C8E-B323-10F134198960}"/>
    <cellStyle name="Comma 4 2 2 3 2 3 3" xfId="5432" xr:uid="{00000000-0005-0000-0000-000006080000}"/>
    <cellStyle name="Comma 4 2 2 3 2 3 3 2" xfId="13882" xr:uid="{6030BA55-09FB-4E0B-B319-2E4D5C6264E1}"/>
    <cellStyle name="Comma 4 2 2 3 2 3 3 3" xfId="22329" xr:uid="{96D6BDEC-48CE-4480-942C-D702EA2A4BDA}"/>
    <cellStyle name="Comma 4 2 2 3 2 3 4" xfId="9664" xr:uid="{75198C92-90FD-4B2A-8A17-90A489708C9C}"/>
    <cellStyle name="Comma 4 2 2 3 2 3 5" xfId="18112" xr:uid="{8E626D78-C163-429A-8869-0CBA55C8FE0F}"/>
    <cellStyle name="Comma 4 2 2 3 2 4" xfId="1538" xr:uid="{00000000-0005-0000-0000-000007080000}"/>
    <cellStyle name="Comma 4 2 2 3 2 4 2" xfId="3768" xr:uid="{00000000-0005-0000-0000-000008080000}"/>
    <cellStyle name="Comma 4 2 2 3 2 4 2 2" xfId="7990" xr:uid="{00000000-0005-0000-0000-000009080000}"/>
    <cellStyle name="Comma 4 2 2 3 2 4 2 2 2" xfId="16440" xr:uid="{5F8004FD-8E57-43F0-9655-3D2D447A8612}"/>
    <cellStyle name="Comma 4 2 2 3 2 4 2 2 3" xfId="24887" xr:uid="{FBD0F62B-6512-46FE-AE4F-940462CF49B5}"/>
    <cellStyle name="Comma 4 2 2 3 2 4 2 3" xfId="12222" xr:uid="{3CBAA732-6D0B-4B45-9575-E3D885C5F580}"/>
    <cellStyle name="Comma 4 2 2 3 2 4 2 4" xfId="20670" xr:uid="{424ABDFB-8147-4B93-BA3C-2C0B19BC3B5B}"/>
    <cellStyle name="Comma 4 2 2 3 2 4 3" xfId="5845" xr:uid="{00000000-0005-0000-0000-00000A080000}"/>
    <cellStyle name="Comma 4 2 2 3 2 4 3 2" xfId="14295" xr:uid="{83C56B00-9123-482E-9E96-5161A0815359}"/>
    <cellStyle name="Comma 4 2 2 3 2 4 3 3" xfId="22742" xr:uid="{771143EF-176B-4769-AF08-F675335CB898}"/>
    <cellStyle name="Comma 4 2 2 3 2 4 4" xfId="10077" xr:uid="{0B49CBC9-75BB-44F6-9998-C8A988B81CA2}"/>
    <cellStyle name="Comma 4 2 2 3 2 4 5" xfId="18525" xr:uid="{FE0E1FEB-1C3C-4EB8-AF2B-3DB1BE4F49D2}"/>
    <cellStyle name="Comma 4 2 2 3 2 5" xfId="1952" xr:uid="{00000000-0005-0000-0000-00000B080000}"/>
    <cellStyle name="Comma 4 2 2 3 2 5 2" xfId="4181" xr:uid="{00000000-0005-0000-0000-00000C080000}"/>
    <cellStyle name="Comma 4 2 2 3 2 5 2 2" xfId="8403" xr:uid="{00000000-0005-0000-0000-00000D080000}"/>
    <cellStyle name="Comma 4 2 2 3 2 5 2 2 2" xfId="16853" xr:uid="{C04FE563-50E7-4AD0-A7F1-12794CDAABD6}"/>
    <cellStyle name="Comma 4 2 2 3 2 5 2 2 3" xfId="25300" xr:uid="{139FE173-DE10-41AB-B234-EDE656AE8AA6}"/>
    <cellStyle name="Comma 4 2 2 3 2 5 2 3" xfId="12635" xr:uid="{F33B6A5A-9B56-4B16-8ECB-D9696998C54E}"/>
    <cellStyle name="Comma 4 2 2 3 2 5 2 4" xfId="21083" xr:uid="{20AEF0EF-C664-4E6E-8BC1-53B71F811B81}"/>
    <cellStyle name="Comma 4 2 2 3 2 5 3" xfId="6258" xr:uid="{00000000-0005-0000-0000-00000E080000}"/>
    <cellStyle name="Comma 4 2 2 3 2 5 3 2" xfId="14708" xr:uid="{7371065B-6B7F-4BF7-B3D3-AFF369A27B03}"/>
    <cellStyle name="Comma 4 2 2 3 2 5 3 3" xfId="23155" xr:uid="{F8091193-1D38-4AEC-A76E-982607F0FA6A}"/>
    <cellStyle name="Comma 4 2 2 3 2 5 4" xfId="10490" xr:uid="{FC9F6B78-B96D-43EE-9D3B-E07918B1F575}"/>
    <cellStyle name="Comma 4 2 2 3 2 5 5" xfId="18938" xr:uid="{CF64C297-4598-442E-A060-E7D1335B0AF7}"/>
    <cellStyle name="Comma 4 2 2 3 2 6" xfId="2387" xr:uid="{00000000-0005-0000-0000-00000F080000}"/>
    <cellStyle name="Comma 4 2 2 3 2 6 2" xfId="6671" xr:uid="{00000000-0005-0000-0000-000010080000}"/>
    <cellStyle name="Comma 4 2 2 3 2 6 2 2" xfId="15121" xr:uid="{81AC5531-E6E2-47BE-AA3F-B8682B838A5F}"/>
    <cellStyle name="Comma 4 2 2 3 2 6 2 3" xfId="23568" xr:uid="{EE2B8C34-B325-4B63-9A09-6B44F6D32474}"/>
    <cellStyle name="Comma 4 2 2 3 2 6 3" xfId="10903" xr:uid="{249FA0EF-C2A0-4D0B-A40E-073D17FFF4B4}"/>
    <cellStyle name="Comma 4 2 2 3 2 6 4" xfId="19351" xr:uid="{3C6E9AC1-6D4B-4D03-97D0-26D280520C0B}"/>
    <cellStyle name="Comma 4 2 2 3 2 7" xfId="2376" xr:uid="{00000000-0005-0000-0000-000011080000}"/>
    <cellStyle name="Comma 4 2 2 3 2 8" xfId="2765" xr:uid="{00000000-0005-0000-0000-000012080000}"/>
    <cellStyle name="Comma 4 2 2 3 2 8 2" xfId="6988" xr:uid="{00000000-0005-0000-0000-000013080000}"/>
    <cellStyle name="Comma 4 2 2 3 2 8 2 2" xfId="15438" xr:uid="{1537C7DC-B1CE-466F-93CE-8083A7121994}"/>
    <cellStyle name="Comma 4 2 2 3 2 8 2 3" xfId="23885" xr:uid="{5395A00B-31D4-4214-A594-0A0D054EA3B3}"/>
    <cellStyle name="Comma 4 2 2 3 2 8 3" xfId="11220" xr:uid="{AD43E939-48E3-4AAA-930E-B1EF34AF21B2}"/>
    <cellStyle name="Comma 4 2 2 3 2 8 4" xfId="19668" xr:uid="{3594FF35-7B8C-49A4-8E48-65E41313EFFA}"/>
    <cellStyle name="Comma 4 2 2 3 2 9" xfId="4605" xr:uid="{00000000-0005-0000-0000-000014080000}"/>
    <cellStyle name="Comma 4 2 2 3 2 9 2" xfId="13055" xr:uid="{5FAF190B-1FAC-45DE-8012-81409005E0C0}"/>
    <cellStyle name="Comma 4 2 2 3 2 9 3" xfId="21502" xr:uid="{5265AEB5-165E-4DA3-9B0A-86C62C04B414}"/>
    <cellStyle name="Comma 4 2 2 3 3" xfId="670" xr:uid="{00000000-0005-0000-0000-000015080000}"/>
    <cellStyle name="Comma 4 2 2 3 3 2" xfId="2941" xr:uid="{00000000-0005-0000-0000-000016080000}"/>
    <cellStyle name="Comma 4 2 2 3 3 2 2" xfId="7163" xr:uid="{00000000-0005-0000-0000-000017080000}"/>
    <cellStyle name="Comma 4 2 2 3 3 2 2 2" xfId="15613" xr:uid="{B9949019-0D2C-47DA-B3E9-70C1E1DA4487}"/>
    <cellStyle name="Comma 4 2 2 3 3 2 2 3" xfId="24060" xr:uid="{5CBBF832-65DF-4DEC-AD33-01310D1E68C9}"/>
    <cellStyle name="Comma 4 2 2 3 3 2 3" xfId="11395" xr:uid="{A10E30D9-7A8C-433E-80B2-C42BEB3F60B5}"/>
    <cellStyle name="Comma 4 2 2 3 3 2 4" xfId="19843" xr:uid="{F770CB8E-D502-4EDC-9396-2B93E725E9E8}"/>
    <cellStyle name="Comma 4 2 2 3 3 3" xfId="5018" xr:uid="{00000000-0005-0000-0000-000018080000}"/>
    <cellStyle name="Comma 4 2 2 3 3 3 2" xfId="13468" xr:uid="{0388EE2E-34D2-4E11-8A3D-C7301C358EBD}"/>
    <cellStyle name="Comma 4 2 2 3 3 3 3" xfId="21915" xr:uid="{DB2D2B4A-EC05-45D6-8908-287BA64EE3B6}"/>
    <cellStyle name="Comma 4 2 2 3 3 4" xfId="9250" xr:uid="{E3018BA8-B5C3-4A97-A12A-4D1EA2475276}"/>
    <cellStyle name="Comma 4 2 2 3 3 5" xfId="17698" xr:uid="{A04B9C23-28D4-4047-B8A4-634A0270A3D2}"/>
    <cellStyle name="Comma 4 2 2 3 4" xfId="1123" xr:uid="{00000000-0005-0000-0000-000019080000}"/>
    <cellStyle name="Comma 4 2 2 3 4 2" xfId="3354" xr:uid="{00000000-0005-0000-0000-00001A080000}"/>
    <cellStyle name="Comma 4 2 2 3 4 2 2" xfId="7576" xr:uid="{00000000-0005-0000-0000-00001B080000}"/>
    <cellStyle name="Comma 4 2 2 3 4 2 2 2" xfId="16026" xr:uid="{6C3E46EB-0C8A-4DAF-873F-5BD5D3245F5A}"/>
    <cellStyle name="Comma 4 2 2 3 4 2 2 3" xfId="24473" xr:uid="{5CFE6CDE-184B-405D-AD79-7DE105B5210F}"/>
    <cellStyle name="Comma 4 2 2 3 4 2 3" xfId="11808" xr:uid="{F535D2CA-EDF1-40ED-8B1B-4E3C41A13138}"/>
    <cellStyle name="Comma 4 2 2 3 4 2 4" xfId="20256" xr:uid="{BD3EBD1C-6C35-4156-849B-8F782BCD44D9}"/>
    <cellStyle name="Comma 4 2 2 3 4 3" xfId="5431" xr:uid="{00000000-0005-0000-0000-00001C080000}"/>
    <cellStyle name="Comma 4 2 2 3 4 3 2" xfId="13881" xr:uid="{736CF7C9-53B5-4558-9049-9F5C067C66F9}"/>
    <cellStyle name="Comma 4 2 2 3 4 3 3" xfId="22328" xr:uid="{BFDA051A-632A-4618-A1C5-0F8F7408C77D}"/>
    <cellStyle name="Comma 4 2 2 3 4 4" xfId="9663" xr:uid="{A1680891-97BB-4803-9D5A-3599F5F1C8FD}"/>
    <cellStyle name="Comma 4 2 2 3 4 5" xfId="18111" xr:uid="{0B8D7F6B-6D47-462E-B99E-00E5C022E0B4}"/>
    <cellStyle name="Comma 4 2 2 3 5" xfId="1537" xr:uid="{00000000-0005-0000-0000-00001D080000}"/>
    <cellStyle name="Comma 4 2 2 3 5 2" xfId="3767" xr:uid="{00000000-0005-0000-0000-00001E080000}"/>
    <cellStyle name="Comma 4 2 2 3 5 2 2" xfId="7989" xr:uid="{00000000-0005-0000-0000-00001F080000}"/>
    <cellStyle name="Comma 4 2 2 3 5 2 2 2" xfId="16439" xr:uid="{3D1FEE6E-DF9D-4E0A-89D9-6A94641F3FDA}"/>
    <cellStyle name="Comma 4 2 2 3 5 2 2 3" xfId="24886" xr:uid="{FFF4CB39-3CAE-4CA6-BF77-7CAE3009384A}"/>
    <cellStyle name="Comma 4 2 2 3 5 2 3" xfId="12221" xr:uid="{30DB2ED4-3A52-4789-A1A1-3855D7410188}"/>
    <cellStyle name="Comma 4 2 2 3 5 2 4" xfId="20669" xr:uid="{29C0DD35-6CAA-488A-BC2D-0CE0DC8050E4}"/>
    <cellStyle name="Comma 4 2 2 3 5 3" xfId="5844" xr:uid="{00000000-0005-0000-0000-000020080000}"/>
    <cellStyle name="Comma 4 2 2 3 5 3 2" xfId="14294" xr:uid="{02FEA3AD-177D-4BE4-8A86-69615226DAB8}"/>
    <cellStyle name="Comma 4 2 2 3 5 3 3" xfId="22741" xr:uid="{032FE4FE-DC65-42A5-B1B6-7ADB0F7644B6}"/>
    <cellStyle name="Comma 4 2 2 3 5 4" xfId="10076" xr:uid="{8A0929A1-D89A-45D1-A5A8-B784D5230993}"/>
    <cellStyle name="Comma 4 2 2 3 5 5" xfId="18524" xr:uid="{5AAE8456-3F9C-42B7-92AA-BDEEB0F6F68F}"/>
    <cellStyle name="Comma 4 2 2 3 6" xfId="1951" xr:uid="{00000000-0005-0000-0000-000021080000}"/>
    <cellStyle name="Comma 4 2 2 3 6 2" xfId="4180" xr:uid="{00000000-0005-0000-0000-000022080000}"/>
    <cellStyle name="Comma 4 2 2 3 6 2 2" xfId="8402" xr:uid="{00000000-0005-0000-0000-000023080000}"/>
    <cellStyle name="Comma 4 2 2 3 6 2 2 2" xfId="16852" xr:uid="{E1465DFA-87F4-4A45-A123-2D226B53E876}"/>
    <cellStyle name="Comma 4 2 2 3 6 2 2 3" xfId="25299" xr:uid="{25411BC3-AE7E-4BFE-BE4C-39034E8352EE}"/>
    <cellStyle name="Comma 4 2 2 3 6 2 3" xfId="12634" xr:uid="{6CFB5447-1634-4035-9905-D5C3BF6DFF08}"/>
    <cellStyle name="Comma 4 2 2 3 6 2 4" xfId="21082" xr:uid="{694CC4C7-99A2-4680-85CC-27ECE6F862BD}"/>
    <cellStyle name="Comma 4 2 2 3 6 3" xfId="6257" xr:uid="{00000000-0005-0000-0000-000024080000}"/>
    <cellStyle name="Comma 4 2 2 3 6 3 2" xfId="14707" xr:uid="{2C8F7591-CD56-4C51-9A1D-677E1BF3939D}"/>
    <cellStyle name="Comma 4 2 2 3 6 3 3" xfId="23154" xr:uid="{12C1F10B-567E-4CE5-8B72-40BC6F05162E}"/>
    <cellStyle name="Comma 4 2 2 3 6 4" xfId="10489" xr:uid="{D887C1EC-D4BA-44ED-9E0F-373206E2A7D6}"/>
    <cellStyle name="Comma 4 2 2 3 6 5" xfId="18937" xr:uid="{CDA9CA45-8C7C-4A71-A8C3-1C00B0E7B296}"/>
    <cellStyle name="Comma 4 2 2 3 7" xfId="2386" xr:uid="{00000000-0005-0000-0000-000025080000}"/>
    <cellStyle name="Comma 4 2 2 3 7 2" xfId="6670" xr:uid="{00000000-0005-0000-0000-000026080000}"/>
    <cellStyle name="Comma 4 2 2 3 7 2 2" xfId="15120" xr:uid="{37074406-C9FE-4B6E-A596-10DDD41112F3}"/>
    <cellStyle name="Comma 4 2 2 3 7 2 3" xfId="23567" xr:uid="{D5A28C68-6FBC-4D7B-B8B4-9DF228AB6421}"/>
    <cellStyle name="Comma 4 2 2 3 7 3" xfId="10902" xr:uid="{CB9E1C17-7CE0-4D2D-A234-3F3D27FCC6AD}"/>
    <cellStyle name="Comma 4 2 2 3 7 4" xfId="19350" xr:uid="{C8ED75A0-AC85-492B-9AAB-F544A647B794}"/>
    <cellStyle name="Comma 4 2 2 3 8" xfId="2377" xr:uid="{00000000-0005-0000-0000-000027080000}"/>
    <cellStyle name="Comma 4 2 2 3 9" xfId="2764" xr:uid="{00000000-0005-0000-0000-000028080000}"/>
    <cellStyle name="Comma 4 2 2 3 9 2" xfId="6987" xr:uid="{00000000-0005-0000-0000-000029080000}"/>
    <cellStyle name="Comma 4 2 2 3 9 2 2" xfId="15437" xr:uid="{79E53FD2-EE28-497A-BC95-ABE32B7D42D9}"/>
    <cellStyle name="Comma 4 2 2 3 9 2 3" xfId="23884" xr:uid="{B2A97820-3A71-42FF-967B-180194E9ADFF}"/>
    <cellStyle name="Comma 4 2 2 3 9 3" xfId="11219" xr:uid="{29B19CA0-1614-40E7-B664-BCAAC5DD9C72}"/>
    <cellStyle name="Comma 4 2 2 3 9 4" xfId="19667" xr:uid="{1E65C4B5-3413-424B-A830-0D4FC37B8BF4}"/>
    <cellStyle name="Comma 4 2 2 4" xfId="134" xr:uid="{00000000-0005-0000-0000-00002A080000}"/>
    <cellStyle name="Comma 4 2 2 4 10" xfId="8838" xr:uid="{42EFF79C-D4BD-4691-B881-A7AC234650FE}"/>
    <cellStyle name="Comma 4 2 2 4 11" xfId="17286" xr:uid="{99BDB754-CE9B-438B-9B5C-318207D15DD3}"/>
    <cellStyle name="Comma 4 2 2 4 2" xfId="672" xr:uid="{00000000-0005-0000-0000-00002B080000}"/>
    <cellStyle name="Comma 4 2 2 4 2 2" xfId="2943" xr:uid="{00000000-0005-0000-0000-00002C080000}"/>
    <cellStyle name="Comma 4 2 2 4 2 2 2" xfId="7165" xr:uid="{00000000-0005-0000-0000-00002D080000}"/>
    <cellStyle name="Comma 4 2 2 4 2 2 2 2" xfId="15615" xr:uid="{B0A8C72A-884D-4AB4-B92B-4FC2B835A1C7}"/>
    <cellStyle name="Comma 4 2 2 4 2 2 2 3" xfId="24062" xr:uid="{3CFA95CF-77E4-46C6-8721-18449CE79586}"/>
    <cellStyle name="Comma 4 2 2 4 2 2 3" xfId="11397" xr:uid="{CB8E6C46-A23B-402B-9C85-1833F8D37A92}"/>
    <cellStyle name="Comma 4 2 2 4 2 2 4" xfId="19845" xr:uid="{76AB4E3E-E973-4DBA-812D-4DD74325E889}"/>
    <cellStyle name="Comma 4 2 2 4 2 3" xfId="5020" xr:uid="{00000000-0005-0000-0000-00002E080000}"/>
    <cellStyle name="Comma 4 2 2 4 2 3 2" xfId="13470" xr:uid="{58149640-B3BC-4278-BD96-87D73CDCC276}"/>
    <cellStyle name="Comma 4 2 2 4 2 3 3" xfId="21917" xr:uid="{492B47D3-C27B-4CA4-B52F-CE322CE8A3C9}"/>
    <cellStyle name="Comma 4 2 2 4 2 4" xfId="9252" xr:uid="{F452C120-1C92-4205-8909-A89BE09DDE13}"/>
    <cellStyle name="Comma 4 2 2 4 2 5" xfId="17700" xr:uid="{3C85F841-445D-4B64-9C47-28356BB83751}"/>
    <cellStyle name="Comma 4 2 2 4 3" xfId="1125" xr:uid="{00000000-0005-0000-0000-00002F080000}"/>
    <cellStyle name="Comma 4 2 2 4 3 2" xfId="3356" xr:uid="{00000000-0005-0000-0000-000030080000}"/>
    <cellStyle name="Comma 4 2 2 4 3 2 2" xfId="7578" xr:uid="{00000000-0005-0000-0000-000031080000}"/>
    <cellStyle name="Comma 4 2 2 4 3 2 2 2" xfId="16028" xr:uid="{FB784775-1706-4A28-BDCB-44D254E299B2}"/>
    <cellStyle name="Comma 4 2 2 4 3 2 2 3" xfId="24475" xr:uid="{12537C0C-2A4A-4CA8-864B-567F4D48B37B}"/>
    <cellStyle name="Comma 4 2 2 4 3 2 3" xfId="11810" xr:uid="{D0F2EF8E-4649-43D5-AB79-D85177312E79}"/>
    <cellStyle name="Comma 4 2 2 4 3 2 4" xfId="20258" xr:uid="{0421AE32-A49A-47F8-B432-77CD2A96417E}"/>
    <cellStyle name="Comma 4 2 2 4 3 3" xfId="5433" xr:uid="{00000000-0005-0000-0000-000032080000}"/>
    <cellStyle name="Comma 4 2 2 4 3 3 2" xfId="13883" xr:uid="{3690F06B-601E-4039-9D61-48357FF7B17D}"/>
    <cellStyle name="Comma 4 2 2 4 3 3 3" xfId="22330" xr:uid="{685A0589-901F-4B13-BE41-87B891EAC541}"/>
    <cellStyle name="Comma 4 2 2 4 3 4" xfId="9665" xr:uid="{61371CDE-556E-4935-9CFA-BBC33649D5D4}"/>
    <cellStyle name="Comma 4 2 2 4 3 5" xfId="18113" xr:uid="{626D1919-8636-4FBC-B701-7CF78EAEF291}"/>
    <cellStyle name="Comma 4 2 2 4 4" xfId="1539" xr:uid="{00000000-0005-0000-0000-000033080000}"/>
    <cellStyle name="Comma 4 2 2 4 4 2" xfId="3769" xr:uid="{00000000-0005-0000-0000-000034080000}"/>
    <cellStyle name="Comma 4 2 2 4 4 2 2" xfId="7991" xr:uid="{00000000-0005-0000-0000-000035080000}"/>
    <cellStyle name="Comma 4 2 2 4 4 2 2 2" xfId="16441" xr:uid="{2D7995B5-6160-4EF1-AD1B-9902E9BB6250}"/>
    <cellStyle name="Comma 4 2 2 4 4 2 2 3" xfId="24888" xr:uid="{99A63E62-F3D1-4927-8F9D-9E0E85261320}"/>
    <cellStyle name="Comma 4 2 2 4 4 2 3" xfId="12223" xr:uid="{E608EF4B-13EA-4B4E-9201-FA9D50CA5362}"/>
    <cellStyle name="Comma 4 2 2 4 4 2 4" xfId="20671" xr:uid="{78E689A0-F1BF-48F0-9823-D7DB229E88EA}"/>
    <cellStyle name="Comma 4 2 2 4 4 3" xfId="5846" xr:uid="{00000000-0005-0000-0000-000036080000}"/>
    <cellStyle name="Comma 4 2 2 4 4 3 2" xfId="14296" xr:uid="{D299F09C-3C1E-46A6-AB4B-28738D82434A}"/>
    <cellStyle name="Comma 4 2 2 4 4 3 3" xfId="22743" xr:uid="{969044EA-07C7-4A7D-8585-EE880B1787AD}"/>
    <cellStyle name="Comma 4 2 2 4 4 4" xfId="10078" xr:uid="{88BEEB14-7D22-440A-80E9-0EAD71F09BD0}"/>
    <cellStyle name="Comma 4 2 2 4 4 5" xfId="18526" xr:uid="{9331A260-8E03-44B7-A91A-F27D7802CAD6}"/>
    <cellStyle name="Comma 4 2 2 4 5" xfId="1953" xr:uid="{00000000-0005-0000-0000-000037080000}"/>
    <cellStyle name="Comma 4 2 2 4 5 2" xfId="4182" xr:uid="{00000000-0005-0000-0000-000038080000}"/>
    <cellStyle name="Comma 4 2 2 4 5 2 2" xfId="8404" xr:uid="{00000000-0005-0000-0000-000039080000}"/>
    <cellStyle name="Comma 4 2 2 4 5 2 2 2" xfId="16854" xr:uid="{A9668E55-5A4A-4133-9AE3-BD6620313DCE}"/>
    <cellStyle name="Comma 4 2 2 4 5 2 2 3" xfId="25301" xr:uid="{77815923-70A5-4338-8CA5-14403D47EC12}"/>
    <cellStyle name="Comma 4 2 2 4 5 2 3" xfId="12636" xr:uid="{D53E0537-0B29-4000-ADD5-3F6C9D8A427D}"/>
    <cellStyle name="Comma 4 2 2 4 5 2 4" xfId="21084" xr:uid="{E0C76A24-A3F3-4A07-8FED-4A642F33FCF2}"/>
    <cellStyle name="Comma 4 2 2 4 5 3" xfId="6259" xr:uid="{00000000-0005-0000-0000-00003A080000}"/>
    <cellStyle name="Comma 4 2 2 4 5 3 2" xfId="14709" xr:uid="{B299553A-9F44-4809-91B8-F522153F455D}"/>
    <cellStyle name="Comma 4 2 2 4 5 3 3" xfId="23156" xr:uid="{BF1C03DD-1BFB-4EF1-B775-BBC2861A0181}"/>
    <cellStyle name="Comma 4 2 2 4 5 4" xfId="10491" xr:uid="{D94AC1A2-9B13-4C2F-9783-2EE6448F71A5}"/>
    <cellStyle name="Comma 4 2 2 4 5 5" xfId="18939" xr:uid="{E1381AFD-1381-431D-8B20-887A145F428D}"/>
    <cellStyle name="Comma 4 2 2 4 6" xfId="2388" xr:uid="{00000000-0005-0000-0000-00003B080000}"/>
    <cellStyle name="Comma 4 2 2 4 6 2" xfId="6672" xr:uid="{00000000-0005-0000-0000-00003C080000}"/>
    <cellStyle name="Comma 4 2 2 4 6 2 2" xfId="15122" xr:uid="{5CA809EA-15A0-41DB-BAAE-CF998704B93A}"/>
    <cellStyle name="Comma 4 2 2 4 6 2 3" xfId="23569" xr:uid="{1E97B8FD-F0AE-4481-BF8F-43B9D59D3264}"/>
    <cellStyle name="Comma 4 2 2 4 6 3" xfId="10904" xr:uid="{6A84C223-38D6-4C15-A55B-68A74EF97425}"/>
    <cellStyle name="Comma 4 2 2 4 6 4" xfId="19352" xr:uid="{7484EB3B-81D2-4DD1-8AD4-53E3DBC3B4A4}"/>
    <cellStyle name="Comma 4 2 2 4 7" xfId="2375" xr:uid="{00000000-0005-0000-0000-00003D080000}"/>
    <cellStyle name="Comma 4 2 2 4 8" xfId="2766" xr:uid="{00000000-0005-0000-0000-00003E080000}"/>
    <cellStyle name="Comma 4 2 2 4 8 2" xfId="6989" xr:uid="{00000000-0005-0000-0000-00003F080000}"/>
    <cellStyle name="Comma 4 2 2 4 8 2 2" xfId="15439" xr:uid="{2335ED74-7BAE-422E-9999-DE7EDC9FAA6A}"/>
    <cellStyle name="Comma 4 2 2 4 8 2 3" xfId="23886" xr:uid="{D11A4118-2EDE-4A50-A510-97112A216CBE}"/>
    <cellStyle name="Comma 4 2 2 4 8 3" xfId="11221" xr:uid="{A90C8936-29C5-4B72-88A4-319454170601}"/>
    <cellStyle name="Comma 4 2 2 4 8 4" xfId="19669" xr:uid="{CF4F29C6-4523-47CA-B83B-97F213EECFD2}"/>
    <cellStyle name="Comma 4 2 2 4 9" xfId="4606" xr:uid="{00000000-0005-0000-0000-000040080000}"/>
    <cellStyle name="Comma 4 2 2 4 9 2" xfId="13056" xr:uid="{AA9F6E9F-03B7-495F-985E-4161B1B09098}"/>
    <cellStyle name="Comma 4 2 2 4 9 3" xfId="21503" xr:uid="{F7B12730-50BF-4829-8528-A4EFA3B3D620}"/>
    <cellStyle name="Comma 4 2 2 5" xfId="135" xr:uid="{00000000-0005-0000-0000-000041080000}"/>
    <cellStyle name="Comma 4 2 2 5 10" xfId="8839" xr:uid="{BCB63462-9D70-4232-BFBA-977431F055A5}"/>
    <cellStyle name="Comma 4 2 2 5 11" xfId="17287" xr:uid="{E0C2B44D-D112-4640-9137-A7DF70C824B9}"/>
    <cellStyle name="Comma 4 2 2 5 2" xfId="673" xr:uid="{00000000-0005-0000-0000-000042080000}"/>
    <cellStyle name="Comma 4 2 2 5 2 2" xfId="2944" xr:uid="{00000000-0005-0000-0000-000043080000}"/>
    <cellStyle name="Comma 4 2 2 5 2 2 2" xfId="7166" xr:uid="{00000000-0005-0000-0000-000044080000}"/>
    <cellStyle name="Comma 4 2 2 5 2 2 2 2" xfId="15616" xr:uid="{EE29307D-B53D-449D-9CB6-5605EB388227}"/>
    <cellStyle name="Comma 4 2 2 5 2 2 2 3" xfId="24063" xr:uid="{5F0815AA-A693-4171-A140-1C2ADABF8393}"/>
    <cellStyle name="Comma 4 2 2 5 2 2 3" xfId="11398" xr:uid="{55F55CCD-61DB-4DB2-B221-4C4DA11CE4C8}"/>
    <cellStyle name="Comma 4 2 2 5 2 2 4" xfId="19846" xr:uid="{A670F14F-B08D-446B-BC8B-812EE45016FD}"/>
    <cellStyle name="Comma 4 2 2 5 2 3" xfId="5021" xr:uid="{00000000-0005-0000-0000-000045080000}"/>
    <cellStyle name="Comma 4 2 2 5 2 3 2" xfId="13471" xr:uid="{D424E1CA-EB76-471F-9E0E-622B12BF5C3F}"/>
    <cellStyle name="Comma 4 2 2 5 2 3 3" xfId="21918" xr:uid="{E864C78D-0857-4437-9407-1C5F3E255589}"/>
    <cellStyle name="Comma 4 2 2 5 2 4" xfId="9253" xr:uid="{EAD4EF45-15A9-4D84-AA49-DEC0D7E7A76A}"/>
    <cellStyle name="Comma 4 2 2 5 2 5" xfId="17701" xr:uid="{DA5DEE12-8B07-4783-86F4-19206699DA3A}"/>
    <cellStyle name="Comma 4 2 2 5 3" xfId="1126" xr:uid="{00000000-0005-0000-0000-000046080000}"/>
    <cellStyle name="Comma 4 2 2 5 3 2" xfId="3357" xr:uid="{00000000-0005-0000-0000-000047080000}"/>
    <cellStyle name="Comma 4 2 2 5 3 2 2" xfId="7579" xr:uid="{00000000-0005-0000-0000-000048080000}"/>
    <cellStyle name="Comma 4 2 2 5 3 2 2 2" xfId="16029" xr:uid="{5CF94D88-6A9A-4DC6-B544-3848A786F45D}"/>
    <cellStyle name="Comma 4 2 2 5 3 2 2 3" xfId="24476" xr:uid="{4B363964-7999-4481-ADAB-989006CDA306}"/>
    <cellStyle name="Comma 4 2 2 5 3 2 3" xfId="11811" xr:uid="{7B047D8D-B01A-4710-8695-71FCA92E8832}"/>
    <cellStyle name="Comma 4 2 2 5 3 2 4" xfId="20259" xr:uid="{77024471-844A-4D6B-8CF4-641C8602069C}"/>
    <cellStyle name="Comma 4 2 2 5 3 3" xfId="5434" xr:uid="{00000000-0005-0000-0000-000049080000}"/>
    <cellStyle name="Comma 4 2 2 5 3 3 2" xfId="13884" xr:uid="{7670BD3A-1D41-450E-A0D5-9B10A25796D5}"/>
    <cellStyle name="Comma 4 2 2 5 3 3 3" xfId="22331" xr:uid="{8FC194CF-D4E3-47B3-A1D3-5ABF750EB4C3}"/>
    <cellStyle name="Comma 4 2 2 5 3 4" xfId="9666" xr:uid="{73654D41-ABD0-4236-9BB8-1C2C7DBBFF8F}"/>
    <cellStyle name="Comma 4 2 2 5 3 5" xfId="18114" xr:uid="{8D21E194-BEBE-4055-B232-09E47357C167}"/>
    <cellStyle name="Comma 4 2 2 5 4" xfId="1540" xr:uid="{00000000-0005-0000-0000-00004A080000}"/>
    <cellStyle name="Comma 4 2 2 5 4 2" xfId="3770" xr:uid="{00000000-0005-0000-0000-00004B080000}"/>
    <cellStyle name="Comma 4 2 2 5 4 2 2" xfId="7992" xr:uid="{00000000-0005-0000-0000-00004C080000}"/>
    <cellStyle name="Comma 4 2 2 5 4 2 2 2" xfId="16442" xr:uid="{113C299F-DF1E-4045-A9EE-00C92CF91545}"/>
    <cellStyle name="Comma 4 2 2 5 4 2 2 3" xfId="24889" xr:uid="{314AEFAD-EDE2-47D9-A90B-A7A1EE95D2EE}"/>
    <cellStyle name="Comma 4 2 2 5 4 2 3" xfId="12224" xr:uid="{7754932D-2CCA-41B3-B926-425B8BB17D33}"/>
    <cellStyle name="Comma 4 2 2 5 4 2 4" xfId="20672" xr:uid="{0DBA35C9-9DCA-4EA7-AAD3-A074B3D730CD}"/>
    <cellStyle name="Comma 4 2 2 5 4 3" xfId="5847" xr:uid="{00000000-0005-0000-0000-00004D080000}"/>
    <cellStyle name="Comma 4 2 2 5 4 3 2" xfId="14297" xr:uid="{598E6F17-86A3-416E-A29C-2F5187BE4C05}"/>
    <cellStyle name="Comma 4 2 2 5 4 3 3" xfId="22744" xr:uid="{74E6E5CA-B401-4FEF-8118-F4907FBDDEC7}"/>
    <cellStyle name="Comma 4 2 2 5 4 4" xfId="10079" xr:uid="{E4581262-B8B0-4E72-9C11-3853B6EF0302}"/>
    <cellStyle name="Comma 4 2 2 5 4 5" xfId="18527" xr:uid="{A5AD5906-008C-44FA-9594-5D0F8D0F64A2}"/>
    <cellStyle name="Comma 4 2 2 5 5" xfId="1954" xr:uid="{00000000-0005-0000-0000-00004E080000}"/>
    <cellStyle name="Comma 4 2 2 5 5 2" xfId="4183" xr:uid="{00000000-0005-0000-0000-00004F080000}"/>
    <cellStyle name="Comma 4 2 2 5 5 2 2" xfId="8405" xr:uid="{00000000-0005-0000-0000-000050080000}"/>
    <cellStyle name="Comma 4 2 2 5 5 2 2 2" xfId="16855" xr:uid="{28E12E25-E9BB-4F0D-80DF-B67F7B523560}"/>
    <cellStyle name="Comma 4 2 2 5 5 2 2 3" xfId="25302" xr:uid="{AC96884D-C137-4DBD-A96E-58FF027A10FD}"/>
    <cellStyle name="Comma 4 2 2 5 5 2 3" xfId="12637" xr:uid="{7312A62D-2A46-4A6F-AACA-C7F695C4D1C6}"/>
    <cellStyle name="Comma 4 2 2 5 5 2 4" xfId="21085" xr:uid="{F11B0B3C-6BE6-4A65-A1BC-819F567F8E30}"/>
    <cellStyle name="Comma 4 2 2 5 5 3" xfId="6260" xr:uid="{00000000-0005-0000-0000-000051080000}"/>
    <cellStyle name="Comma 4 2 2 5 5 3 2" xfId="14710" xr:uid="{D8BDC149-4292-4D6E-BC43-44BDD88EE691}"/>
    <cellStyle name="Comma 4 2 2 5 5 3 3" xfId="23157" xr:uid="{4892739C-637B-4B57-8692-560C0686EA90}"/>
    <cellStyle name="Comma 4 2 2 5 5 4" xfId="10492" xr:uid="{176CC966-4552-43EB-882A-6055706F3D17}"/>
    <cellStyle name="Comma 4 2 2 5 5 5" xfId="18940" xr:uid="{0547F05E-3D03-4188-BC6F-8057AD1CB165}"/>
    <cellStyle name="Comma 4 2 2 5 6" xfId="2389" xr:uid="{00000000-0005-0000-0000-000052080000}"/>
    <cellStyle name="Comma 4 2 2 5 6 2" xfId="6673" xr:uid="{00000000-0005-0000-0000-000053080000}"/>
    <cellStyle name="Comma 4 2 2 5 6 2 2" xfId="15123" xr:uid="{9F12E5A3-A67E-411A-A571-6BD8F56A4820}"/>
    <cellStyle name="Comma 4 2 2 5 6 2 3" xfId="23570" xr:uid="{FF0D12B5-6C9A-493D-A8AC-A22FC3D27D87}"/>
    <cellStyle name="Comma 4 2 2 5 6 3" xfId="10905" xr:uid="{1048B278-3093-4EB8-ACC5-874D4B2A68DA}"/>
    <cellStyle name="Comma 4 2 2 5 6 4" xfId="19353" xr:uid="{CDAA30E8-51E7-407F-B62C-6996D6BD8546}"/>
    <cellStyle name="Comma 4 2 2 5 7" xfId="2374" xr:uid="{00000000-0005-0000-0000-000054080000}"/>
    <cellStyle name="Comma 4 2 2 5 8" xfId="2767" xr:uid="{00000000-0005-0000-0000-000055080000}"/>
    <cellStyle name="Comma 4 2 2 5 8 2" xfId="6990" xr:uid="{00000000-0005-0000-0000-000056080000}"/>
    <cellStyle name="Comma 4 2 2 5 8 2 2" xfId="15440" xr:uid="{DE05FC3C-081C-4EA9-85E7-BD2808D659E9}"/>
    <cellStyle name="Comma 4 2 2 5 8 2 3" xfId="23887" xr:uid="{EC21B79D-3C03-4A3D-891C-41A178187F73}"/>
    <cellStyle name="Comma 4 2 2 5 8 3" xfId="11222" xr:uid="{BF3345E3-E259-416D-B13E-6AB29D32DA43}"/>
    <cellStyle name="Comma 4 2 2 5 8 4" xfId="19670" xr:uid="{6DEFA00B-38AF-4156-9ECC-1F8BFD9315AF}"/>
    <cellStyle name="Comma 4 2 2 5 9" xfId="4607" xr:uid="{00000000-0005-0000-0000-000057080000}"/>
    <cellStyle name="Comma 4 2 2 5 9 2" xfId="13057" xr:uid="{7AA24891-B188-41DF-97F1-432B0B60C8A0}"/>
    <cellStyle name="Comma 4 2 2 5 9 3" xfId="21504" xr:uid="{2300897C-AE3F-41A7-8A57-BE93E63228E9}"/>
    <cellStyle name="Comma 4 2 3" xfId="136" xr:uid="{00000000-0005-0000-0000-000058080000}"/>
    <cellStyle name="Comma 4 2 3 10" xfId="2768" xr:uid="{00000000-0005-0000-0000-000059080000}"/>
    <cellStyle name="Comma 4 2 3 10 2" xfId="6991" xr:uid="{00000000-0005-0000-0000-00005A080000}"/>
    <cellStyle name="Comma 4 2 3 10 2 2" xfId="15441" xr:uid="{A62A03C1-2157-4F09-ACB9-0192E81CC523}"/>
    <cellStyle name="Comma 4 2 3 10 2 3" xfId="23888" xr:uid="{099CA50A-3F9A-41C8-A49B-E3C73872C4B4}"/>
    <cellStyle name="Comma 4 2 3 10 3" xfId="11223" xr:uid="{E493FE1B-E95A-46BC-8828-9DB2428B8125}"/>
    <cellStyle name="Comma 4 2 3 10 4" xfId="19671" xr:uid="{9811E542-6238-49DD-BC4D-241407B0B4F1}"/>
    <cellStyle name="Comma 4 2 3 11" xfId="4608" xr:uid="{00000000-0005-0000-0000-00005B080000}"/>
    <cellStyle name="Comma 4 2 3 11 2" xfId="13058" xr:uid="{3C5EBB33-DC10-4E3D-B471-861D38BADAA4}"/>
    <cellStyle name="Comma 4 2 3 11 3" xfId="21505" xr:uid="{D21A84EA-D64C-4B75-855D-C7B5D5243086}"/>
    <cellStyle name="Comma 4 2 3 12" xfId="8840" xr:uid="{A15FF00C-A88A-49E1-BE66-01BBDBBD46D2}"/>
    <cellStyle name="Comma 4 2 3 13" xfId="17288" xr:uid="{6F3033F0-E17F-44D1-BA65-2E87425C7BB8}"/>
    <cellStyle name="Comma 4 2 3 2" xfId="137" xr:uid="{00000000-0005-0000-0000-00005C080000}"/>
    <cellStyle name="Comma 4 2 3 2 10" xfId="4609" xr:uid="{00000000-0005-0000-0000-00005D080000}"/>
    <cellStyle name="Comma 4 2 3 2 10 2" xfId="13059" xr:uid="{9D7A9EF8-B709-4560-92AB-D67E0EA0CD07}"/>
    <cellStyle name="Comma 4 2 3 2 10 3" xfId="21506" xr:uid="{9ED7F984-1F37-4963-AAF8-65C8056E5170}"/>
    <cellStyle name="Comma 4 2 3 2 11" xfId="8841" xr:uid="{EA93FA60-C85F-49E9-A8EC-065031362B00}"/>
    <cellStyle name="Comma 4 2 3 2 12" xfId="17289" xr:uid="{578AA91C-4DB7-4CF9-A730-D89D197679BE}"/>
    <cellStyle name="Comma 4 2 3 2 2" xfId="138" xr:uid="{00000000-0005-0000-0000-00005E080000}"/>
    <cellStyle name="Comma 4 2 3 2 2 10" xfId="8842" xr:uid="{9AD965AE-94AF-4E84-942D-D6219F2397C8}"/>
    <cellStyle name="Comma 4 2 3 2 2 11" xfId="17290" xr:uid="{899E5398-97C8-4299-9C56-F97A838E0132}"/>
    <cellStyle name="Comma 4 2 3 2 2 2" xfId="676" xr:uid="{00000000-0005-0000-0000-00005F080000}"/>
    <cellStyle name="Comma 4 2 3 2 2 2 2" xfId="2947" xr:uid="{00000000-0005-0000-0000-000060080000}"/>
    <cellStyle name="Comma 4 2 3 2 2 2 2 2" xfId="7169" xr:uid="{00000000-0005-0000-0000-000061080000}"/>
    <cellStyle name="Comma 4 2 3 2 2 2 2 2 2" xfId="15619" xr:uid="{78E2E0C0-3FC7-42EA-896D-95DEE867B6F4}"/>
    <cellStyle name="Comma 4 2 3 2 2 2 2 2 3" xfId="24066" xr:uid="{B4D6F698-C383-4881-836A-1B95A2C09B43}"/>
    <cellStyle name="Comma 4 2 3 2 2 2 2 3" xfId="11401" xr:uid="{AB1A0482-3E23-4A8A-97E7-CD43808B9FD1}"/>
    <cellStyle name="Comma 4 2 3 2 2 2 2 4" xfId="19849" xr:uid="{8CD8B5FD-010F-44B1-95C2-C3523C9B8364}"/>
    <cellStyle name="Comma 4 2 3 2 2 2 3" xfId="5024" xr:uid="{00000000-0005-0000-0000-000062080000}"/>
    <cellStyle name="Comma 4 2 3 2 2 2 3 2" xfId="13474" xr:uid="{91A31C66-6A9C-4E1D-B229-36D4A8DA0A82}"/>
    <cellStyle name="Comma 4 2 3 2 2 2 3 3" xfId="21921" xr:uid="{B127E0FD-499E-4BB7-8467-A209B5D044C9}"/>
    <cellStyle name="Comma 4 2 3 2 2 2 4" xfId="9256" xr:uid="{89E0503A-8B24-43C4-8EFB-522126616812}"/>
    <cellStyle name="Comma 4 2 3 2 2 2 5" xfId="17704" xr:uid="{2D4FDEB7-41A5-4FBD-9ED2-AB442D973C08}"/>
    <cellStyle name="Comma 4 2 3 2 2 3" xfId="1129" xr:uid="{00000000-0005-0000-0000-000063080000}"/>
    <cellStyle name="Comma 4 2 3 2 2 3 2" xfId="3360" xr:uid="{00000000-0005-0000-0000-000064080000}"/>
    <cellStyle name="Comma 4 2 3 2 2 3 2 2" xfId="7582" xr:uid="{00000000-0005-0000-0000-000065080000}"/>
    <cellStyle name="Comma 4 2 3 2 2 3 2 2 2" xfId="16032" xr:uid="{298BA489-813A-4EB9-888C-5C3C247D2760}"/>
    <cellStyle name="Comma 4 2 3 2 2 3 2 2 3" xfId="24479" xr:uid="{5E463087-7FB6-4D4C-8EEF-190DFB557033}"/>
    <cellStyle name="Comma 4 2 3 2 2 3 2 3" xfId="11814" xr:uid="{874458CF-2777-4376-A881-56AA6D337BDB}"/>
    <cellStyle name="Comma 4 2 3 2 2 3 2 4" xfId="20262" xr:uid="{D2A22450-FEC8-4384-83C7-1FD8F521984C}"/>
    <cellStyle name="Comma 4 2 3 2 2 3 3" xfId="5437" xr:uid="{00000000-0005-0000-0000-000066080000}"/>
    <cellStyle name="Comma 4 2 3 2 2 3 3 2" xfId="13887" xr:uid="{12201AF7-1E2C-48F9-AB85-2AB3A13D585E}"/>
    <cellStyle name="Comma 4 2 3 2 2 3 3 3" xfId="22334" xr:uid="{C1EAE1BD-E4FD-416E-BF7D-D1B418E8CFCE}"/>
    <cellStyle name="Comma 4 2 3 2 2 3 4" xfId="9669" xr:uid="{882863B9-654E-4BAE-A070-EA830AC9A6E4}"/>
    <cellStyle name="Comma 4 2 3 2 2 3 5" xfId="18117" xr:uid="{0E6DAF5C-D732-4D1A-A7EF-090318B91AB9}"/>
    <cellStyle name="Comma 4 2 3 2 2 4" xfId="1543" xr:uid="{00000000-0005-0000-0000-000067080000}"/>
    <cellStyle name="Comma 4 2 3 2 2 4 2" xfId="3773" xr:uid="{00000000-0005-0000-0000-000068080000}"/>
    <cellStyle name="Comma 4 2 3 2 2 4 2 2" xfId="7995" xr:uid="{00000000-0005-0000-0000-000069080000}"/>
    <cellStyle name="Comma 4 2 3 2 2 4 2 2 2" xfId="16445" xr:uid="{FF2A2070-BF3E-4E16-A6EA-DA9BA28B141F}"/>
    <cellStyle name="Comma 4 2 3 2 2 4 2 2 3" xfId="24892" xr:uid="{AC9F77C0-6585-488D-A34A-BEE621C1A61F}"/>
    <cellStyle name="Comma 4 2 3 2 2 4 2 3" xfId="12227" xr:uid="{3EA81122-4FDB-41F9-9F53-A5BA994E3F24}"/>
    <cellStyle name="Comma 4 2 3 2 2 4 2 4" xfId="20675" xr:uid="{162B529E-89C5-430C-8366-322605AFD5CA}"/>
    <cellStyle name="Comma 4 2 3 2 2 4 3" xfId="5850" xr:uid="{00000000-0005-0000-0000-00006A080000}"/>
    <cellStyle name="Comma 4 2 3 2 2 4 3 2" xfId="14300" xr:uid="{5A2A14E3-CCE4-4FBC-BD86-8D062EA46797}"/>
    <cellStyle name="Comma 4 2 3 2 2 4 3 3" xfId="22747" xr:uid="{6D62E336-DFC4-4B07-9DEB-DC638692F48D}"/>
    <cellStyle name="Comma 4 2 3 2 2 4 4" xfId="10082" xr:uid="{2B59CD1A-3FB8-48DE-BF1A-CC307E89BA99}"/>
    <cellStyle name="Comma 4 2 3 2 2 4 5" xfId="18530" xr:uid="{1822D446-34A1-4151-8A72-3E9A66E1C115}"/>
    <cellStyle name="Comma 4 2 3 2 2 5" xfId="1957" xr:uid="{00000000-0005-0000-0000-00006B080000}"/>
    <cellStyle name="Comma 4 2 3 2 2 5 2" xfId="4186" xr:uid="{00000000-0005-0000-0000-00006C080000}"/>
    <cellStyle name="Comma 4 2 3 2 2 5 2 2" xfId="8408" xr:uid="{00000000-0005-0000-0000-00006D080000}"/>
    <cellStyle name="Comma 4 2 3 2 2 5 2 2 2" xfId="16858" xr:uid="{0DDE6603-6C38-42D4-8A08-92F666B12C5F}"/>
    <cellStyle name="Comma 4 2 3 2 2 5 2 2 3" xfId="25305" xr:uid="{F0E203B2-7631-462F-9ED2-A5F751DCDB94}"/>
    <cellStyle name="Comma 4 2 3 2 2 5 2 3" xfId="12640" xr:uid="{C4EAB43B-9C4E-49E7-8B64-686794E40C91}"/>
    <cellStyle name="Comma 4 2 3 2 2 5 2 4" xfId="21088" xr:uid="{1EA101C1-61B9-4678-A3A5-81C1DAD870D0}"/>
    <cellStyle name="Comma 4 2 3 2 2 5 3" xfId="6263" xr:uid="{00000000-0005-0000-0000-00006E080000}"/>
    <cellStyle name="Comma 4 2 3 2 2 5 3 2" xfId="14713" xr:uid="{8EA0E16A-0309-4A3E-BED5-53D33C91DE56}"/>
    <cellStyle name="Comma 4 2 3 2 2 5 3 3" xfId="23160" xr:uid="{DE886FC3-3763-4A3D-AA53-7361F552CC55}"/>
    <cellStyle name="Comma 4 2 3 2 2 5 4" xfId="10495" xr:uid="{87294650-0F07-4230-BEA9-2EB59FA2BDC9}"/>
    <cellStyle name="Comma 4 2 3 2 2 5 5" xfId="18943" xr:uid="{1736A50D-5DB0-49A7-BD57-99C0F8C3BDF9}"/>
    <cellStyle name="Comma 4 2 3 2 2 6" xfId="2392" xr:uid="{00000000-0005-0000-0000-00006F080000}"/>
    <cellStyle name="Comma 4 2 3 2 2 6 2" xfId="6676" xr:uid="{00000000-0005-0000-0000-000070080000}"/>
    <cellStyle name="Comma 4 2 3 2 2 6 2 2" xfId="15126" xr:uid="{DE246988-2F3F-42BA-8C28-601D2FF8E8B6}"/>
    <cellStyle name="Comma 4 2 3 2 2 6 2 3" xfId="23573" xr:uid="{A4542350-E462-4D0B-BDD0-422A4C0497DA}"/>
    <cellStyle name="Comma 4 2 3 2 2 6 3" xfId="10908" xr:uid="{CD4BC65D-7E57-49B7-9659-DB9CA1DA7FFD}"/>
    <cellStyle name="Comma 4 2 3 2 2 6 4" xfId="19356" xr:uid="{563A675B-00E1-4657-8129-C877B7695CAF}"/>
    <cellStyle name="Comma 4 2 3 2 2 7" xfId="2371" xr:uid="{00000000-0005-0000-0000-000071080000}"/>
    <cellStyle name="Comma 4 2 3 2 2 8" xfId="2770" xr:uid="{00000000-0005-0000-0000-000072080000}"/>
    <cellStyle name="Comma 4 2 3 2 2 8 2" xfId="6993" xr:uid="{00000000-0005-0000-0000-000073080000}"/>
    <cellStyle name="Comma 4 2 3 2 2 8 2 2" xfId="15443" xr:uid="{AC6CFCA3-8D03-4914-AC56-185B72EB0B16}"/>
    <cellStyle name="Comma 4 2 3 2 2 8 2 3" xfId="23890" xr:uid="{BCC018AB-88A0-4730-85BD-AF6CA2341906}"/>
    <cellStyle name="Comma 4 2 3 2 2 8 3" xfId="11225" xr:uid="{C31A752D-3D90-4F88-9C28-A191B34ADEAF}"/>
    <cellStyle name="Comma 4 2 3 2 2 8 4" xfId="19673" xr:uid="{4F8E395D-FBDE-4EC3-ABCE-5E87DA9E5083}"/>
    <cellStyle name="Comma 4 2 3 2 2 9" xfId="4610" xr:uid="{00000000-0005-0000-0000-000074080000}"/>
    <cellStyle name="Comma 4 2 3 2 2 9 2" xfId="13060" xr:uid="{44A435D1-90BD-4D1A-8188-35C833C5AC92}"/>
    <cellStyle name="Comma 4 2 3 2 2 9 3" xfId="21507" xr:uid="{D7D8A398-461E-4CCF-820C-F0CE82090DEC}"/>
    <cellStyle name="Comma 4 2 3 2 3" xfId="675" xr:uid="{00000000-0005-0000-0000-000075080000}"/>
    <cellStyle name="Comma 4 2 3 2 3 2" xfId="2946" xr:uid="{00000000-0005-0000-0000-000076080000}"/>
    <cellStyle name="Comma 4 2 3 2 3 2 2" xfId="7168" xr:uid="{00000000-0005-0000-0000-000077080000}"/>
    <cellStyle name="Comma 4 2 3 2 3 2 2 2" xfId="15618" xr:uid="{60DAEA62-D0DB-4DB3-9868-83FDC109646C}"/>
    <cellStyle name="Comma 4 2 3 2 3 2 2 3" xfId="24065" xr:uid="{B9666261-F05D-434C-A1F6-61A4AB901074}"/>
    <cellStyle name="Comma 4 2 3 2 3 2 3" xfId="11400" xr:uid="{3BD8E8CF-2D87-42E7-88A1-7158EB58A963}"/>
    <cellStyle name="Comma 4 2 3 2 3 2 4" xfId="19848" xr:uid="{B4E91ABA-9EEB-4E5B-BB6E-CE7B61177C54}"/>
    <cellStyle name="Comma 4 2 3 2 3 3" xfId="5023" xr:uid="{00000000-0005-0000-0000-000078080000}"/>
    <cellStyle name="Comma 4 2 3 2 3 3 2" xfId="13473" xr:uid="{DEF7E615-0F9D-4785-BCAD-8BD01E7B6046}"/>
    <cellStyle name="Comma 4 2 3 2 3 3 3" xfId="21920" xr:uid="{AE4C1AE3-8170-4F97-855B-FBEDF2E56E82}"/>
    <cellStyle name="Comma 4 2 3 2 3 4" xfId="9255" xr:uid="{11C0054C-A82F-45CF-ABB8-D782C41C1CC1}"/>
    <cellStyle name="Comma 4 2 3 2 3 5" xfId="17703" xr:uid="{38658A14-2148-4220-BB30-25E174C9E232}"/>
    <cellStyle name="Comma 4 2 3 2 4" xfId="1128" xr:uid="{00000000-0005-0000-0000-000079080000}"/>
    <cellStyle name="Comma 4 2 3 2 4 2" xfId="3359" xr:uid="{00000000-0005-0000-0000-00007A080000}"/>
    <cellStyle name="Comma 4 2 3 2 4 2 2" xfId="7581" xr:uid="{00000000-0005-0000-0000-00007B080000}"/>
    <cellStyle name="Comma 4 2 3 2 4 2 2 2" xfId="16031" xr:uid="{24E49821-4E1D-46F9-96B6-6E3FC96132DE}"/>
    <cellStyle name="Comma 4 2 3 2 4 2 2 3" xfId="24478" xr:uid="{F836B842-AD11-45D9-AB6B-E06994094B9D}"/>
    <cellStyle name="Comma 4 2 3 2 4 2 3" xfId="11813" xr:uid="{50352FB4-35FE-4E65-859C-035B8221C43E}"/>
    <cellStyle name="Comma 4 2 3 2 4 2 4" xfId="20261" xr:uid="{7620AEE1-DD61-41B7-B6C5-105EF6FD17B5}"/>
    <cellStyle name="Comma 4 2 3 2 4 3" xfId="5436" xr:uid="{00000000-0005-0000-0000-00007C080000}"/>
    <cellStyle name="Comma 4 2 3 2 4 3 2" xfId="13886" xr:uid="{68897AF6-D1FE-4A78-9EE4-5FC1723A7C62}"/>
    <cellStyle name="Comma 4 2 3 2 4 3 3" xfId="22333" xr:uid="{7A83B097-64B3-413E-8BCD-3C67E30D6558}"/>
    <cellStyle name="Comma 4 2 3 2 4 4" xfId="9668" xr:uid="{89F9CAC4-AB91-48B4-9609-6464BD0F6FA6}"/>
    <cellStyle name="Comma 4 2 3 2 4 5" xfId="18116" xr:uid="{A1781BAE-920B-45DF-A415-1BE961CB0D7C}"/>
    <cellStyle name="Comma 4 2 3 2 5" xfId="1542" xr:uid="{00000000-0005-0000-0000-00007D080000}"/>
    <cellStyle name="Comma 4 2 3 2 5 2" xfId="3772" xr:uid="{00000000-0005-0000-0000-00007E080000}"/>
    <cellStyle name="Comma 4 2 3 2 5 2 2" xfId="7994" xr:uid="{00000000-0005-0000-0000-00007F080000}"/>
    <cellStyle name="Comma 4 2 3 2 5 2 2 2" xfId="16444" xr:uid="{E48C7CC1-17AB-44FA-8E5E-C06DCACAC4A5}"/>
    <cellStyle name="Comma 4 2 3 2 5 2 2 3" xfId="24891" xr:uid="{DCE49537-6686-44D5-9E85-FD832EEB3C34}"/>
    <cellStyle name="Comma 4 2 3 2 5 2 3" xfId="12226" xr:uid="{4F8EBE1D-6190-4F78-B39E-AAA35A108FA0}"/>
    <cellStyle name="Comma 4 2 3 2 5 2 4" xfId="20674" xr:uid="{04C433FE-235A-4709-B5A4-DFEDDAAA4438}"/>
    <cellStyle name="Comma 4 2 3 2 5 3" xfId="5849" xr:uid="{00000000-0005-0000-0000-000080080000}"/>
    <cellStyle name="Comma 4 2 3 2 5 3 2" xfId="14299" xr:uid="{E36932DF-754A-499E-9200-DC2298D59897}"/>
    <cellStyle name="Comma 4 2 3 2 5 3 3" xfId="22746" xr:uid="{7ADAC5BC-85F3-4DA1-BBE5-80A9EA57C91A}"/>
    <cellStyle name="Comma 4 2 3 2 5 4" xfId="10081" xr:uid="{34589418-6503-4D86-BA73-87EAB41C2A94}"/>
    <cellStyle name="Comma 4 2 3 2 5 5" xfId="18529" xr:uid="{4F9EA4BD-0DBB-4B78-BB09-86A3B5BB47B2}"/>
    <cellStyle name="Comma 4 2 3 2 6" xfId="1956" xr:uid="{00000000-0005-0000-0000-000081080000}"/>
    <cellStyle name="Comma 4 2 3 2 6 2" xfId="4185" xr:uid="{00000000-0005-0000-0000-000082080000}"/>
    <cellStyle name="Comma 4 2 3 2 6 2 2" xfId="8407" xr:uid="{00000000-0005-0000-0000-000083080000}"/>
    <cellStyle name="Comma 4 2 3 2 6 2 2 2" xfId="16857" xr:uid="{B10061E2-A667-4A78-9A88-D3C4D31DBD85}"/>
    <cellStyle name="Comma 4 2 3 2 6 2 2 3" xfId="25304" xr:uid="{1A5CA33E-2A1A-4887-B064-14F14E8CBC31}"/>
    <cellStyle name="Comma 4 2 3 2 6 2 3" xfId="12639" xr:uid="{974C585D-B30A-4A9D-82E3-1CC331815DAE}"/>
    <cellStyle name="Comma 4 2 3 2 6 2 4" xfId="21087" xr:uid="{E71B842F-09C3-4502-A6F3-ACC790495D53}"/>
    <cellStyle name="Comma 4 2 3 2 6 3" xfId="6262" xr:uid="{00000000-0005-0000-0000-000084080000}"/>
    <cellStyle name="Comma 4 2 3 2 6 3 2" xfId="14712" xr:uid="{85F26FC4-BBBF-419C-91D1-D7A698962EDA}"/>
    <cellStyle name="Comma 4 2 3 2 6 3 3" xfId="23159" xr:uid="{CBD11224-6884-42A4-908A-C1BB68BAA92E}"/>
    <cellStyle name="Comma 4 2 3 2 6 4" xfId="10494" xr:uid="{D232249D-8DFC-4B7A-9709-89AE15B13190}"/>
    <cellStyle name="Comma 4 2 3 2 6 5" xfId="18942" xr:uid="{EACD070F-216A-49B0-9469-8095B88CFD2F}"/>
    <cellStyle name="Comma 4 2 3 2 7" xfId="2391" xr:uid="{00000000-0005-0000-0000-000085080000}"/>
    <cellStyle name="Comma 4 2 3 2 7 2" xfId="6675" xr:uid="{00000000-0005-0000-0000-000086080000}"/>
    <cellStyle name="Comma 4 2 3 2 7 2 2" xfId="15125" xr:uid="{194B3525-9A7B-4ECC-BD2C-AD4447E74FC9}"/>
    <cellStyle name="Comma 4 2 3 2 7 2 3" xfId="23572" xr:uid="{7810F857-DF12-4895-985F-5A647515B477}"/>
    <cellStyle name="Comma 4 2 3 2 7 3" xfId="10907" xr:uid="{7C4C0DA7-96AB-40FD-B980-17F68F8B1970}"/>
    <cellStyle name="Comma 4 2 3 2 7 4" xfId="19355" xr:uid="{E287C579-DDE4-4958-A71E-BC70530B0478}"/>
    <cellStyle name="Comma 4 2 3 2 8" xfId="2372" xr:uid="{00000000-0005-0000-0000-000087080000}"/>
    <cellStyle name="Comma 4 2 3 2 9" xfId="2769" xr:uid="{00000000-0005-0000-0000-000088080000}"/>
    <cellStyle name="Comma 4 2 3 2 9 2" xfId="6992" xr:uid="{00000000-0005-0000-0000-000089080000}"/>
    <cellStyle name="Comma 4 2 3 2 9 2 2" xfId="15442" xr:uid="{4DBBCF4A-CC0F-4A8E-A998-A3D7AD9AD69A}"/>
    <cellStyle name="Comma 4 2 3 2 9 2 3" xfId="23889" xr:uid="{92F8BFE5-4B30-428E-96F4-4DF8487E34BE}"/>
    <cellStyle name="Comma 4 2 3 2 9 3" xfId="11224" xr:uid="{B53FAD89-1844-46F0-986F-02329E0210D3}"/>
    <cellStyle name="Comma 4 2 3 2 9 4" xfId="19672" xr:uid="{11CC9D8A-F50E-45DD-9084-CD59FC558975}"/>
    <cellStyle name="Comma 4 2 3 3" xfId="139" xr:uid="{00000000-0005-0000-0000-00008A080000}"/>
    <cellStyle name="Comma 4 2 3 3 10" xfId="8843" xr:uid="{6AD90EFF-9D79-447A-858D-EDC0BD7D769A}"/>
    <cellStyle name="Comma 4 2 3 3 11" xfId="17291" xr:uid="{A7912023-CD75-4B99-B712-335FC3C2CD9E}"/>
    <cellStyle name="Comma 4 2 3 3 2" xfId="677" xr:uid="{00000000-0005-0000-0000-00008B080000}"/>
    <cellStyle name="Comma 4 2 3 3 2 2" xfId="2948" xr:uid="{00000000-0005-0000-0000-00008C080000}"/>
    <cellStyle name="Comma 4 2 3 3 2 2 2" xfId="7170" xr:uid="{00000000-0005-0000-0000-00008D080000}"/>
    <cellStyle name="Comma 4 2 3 3 2 2 2 2" xfId="15620" xr:uid="{ACAEDB0A-1082-478C-8D50-E16D7A1DFF37}"/>
    <cellStyle name="Comma 4 2 3 3 2 2 2 3" xfId="24067" xr:uid="{C1FE1077-B860-4566-9021-99CA7CFEE6EC}"/>
    <cellStyle name="Comma 4 2 3 3 2 2 3" xfId="11402" xr:uid="{AD4609AF-66E8-4F9D-97B6-E67A96E125C5}"/>
    <cellStyle name="Comma 4 2 3 3 2 2 4" xfId="19850" xr:uid="{53824F14-406C-4F31-98C2-D395BB449F01}"/>
    <cellStyle name="Comma 4 2 3 3 2 3" xfId="5025" xr:uid="{00000000-0005-0000-0000-00008E080000}"/>
    <cellStyle name="Comma 4 2 3 3 2 3 2" xfId="13475" xr:uid="{3EAE8E7C-C0D1-4C96-A883-793A134AA637}"/>
    <cellStyle name="Comma 4 2 3 3 2 3 3" xfId="21922" xr:uid="{2B7C3BD4-BB7D-4F7A-9381-A2D05AFB2A51}"/>
    <cellStyle name="Comma 4 2 3 3 2 4" xfId="9257" xr:uid="{A4015299-E275-4E76-870D-6DAF3519BFB7}"/>
    <cellStyle name="Comma 4 2 3 3 2 5" xfId="17705" xr:uid="{445F0CA9-E728-4038-A742-E1FDAB6BE9AD}"/>
    <cellStyle name="Comma 4 2 3 3 3" xfId="1130" xr:uid="{00000000-0005-0000-0000-00008F080000}"/>
    <cellStyle name="Comma 4 2 3 3 3 2" xfId="3361" xr:uid="{00000000-0005-0000-0000-000090080000}"/>
    <cellStyle name="Comma 4 2 3 3 3 2 2" xfId="7583" xr:uid="{00000000-0005-0000-0000-000091080000}"/>
    <cellStyle name="Comma 4 2 3 3 3 2 2 2" xfId="16033" xr:uid="{FFF8A67A-C18A-426B-9D62-A9F4CC2EE124}"/>
    <cellStyle name="Comma 4 2 3 3 3 2 2 3" xfId="24480" xr:uid="{2066F39E-0BAA-4F6C-8179-8A044B70CD24}"/>
    <cellStyle name="Comma 4 2 3 3 3 2 3" xfId="11815" xr:uid="{733057A9-8FE7-4747-BE10-64AE4A92E1DC}"/>
    <cellStyle name="Comma 4 2 3 3 3 2 4" xfId="20263" xr:uid="{A4FC98FB-DE69-4171-A1B3-71DF46DA4815}"/>
    <cellStyle name="Comma 4 2 3 3 3 3" xfId="5438" xr:uid="{00000000-0005-0000-0000-000092080000}"/>
    <cellStyle name="Comma 4 2 3 3 3 3 2" xfId="13888" xr:uid="{EB8EA57A-3CB5-4F7D-8EB6-F22A1CB52DC5}"/>
    <cellStyle name="Comma 4 2 3 3 3 3 3" xfId="22335" xr:uid="{50C4ADC3-4C2F-45EC-9490-521B46268910}"/>
    <cellStyle name="Comma 4 2 3 3 3 4" xfId="9670" xr:uid="{A7849380-A946-49EE-A9B1-D36FFD02693A}"/>
    <cellStyle name="Comma 4 2 3 3 3 5" xfId="18118" xr:uid="{1519AB91-41CE-4959-866C-5EEB6C313E35}"/>
    <cellStyle name="Comma 4 2 3 3 4" xfId="1544" xr:uid="{00000000-0005-0000-0000-000093080000}"/>
    <cellStyle name="Comma 4 2 3 3 4 2" xfId="3774" xr:uid="{00000000-0005-0000-0000-000094080000}"/>
    <cellStyle name="Comma 4 2 3 3 4 2 2" xfId="7996" xr:uid="{00000000-0005-0000-0000-000095080000}"/>
    <cellStyle name="Comma 4 2 3 3 4 2 2 2" xfId="16446" xr:uid="{F913266A-5CD3-4704-952C-A9DE4FCCFDB4}"/>
    <cellStyle name="Comma 4 2 3 3 4 2 2 3" xfId="24893" xr:uid="{4E40AB98-AE6A-487E-A8FC-392BACDADC5B}"/>
    <cellStyle name="Comma 4 2 3 3 4 2 3" xfId="12228" xr:uid="{C90E264D-6AC9-4746-B178-611EA6FC08C2}"/>
    <cellStyle name="Comma 4 2 3 3 4 2 4" xfId="20676" xr:uid="{8F2821D2-7548-42A9-AFEF-3CFFBD5D5C7C}"/>
    <cellStyle name="Comma 4 2 3 3 4 3" xfId="5851" xr:uid="{00000000-0005-0000-0000-000096080000}"/>
    <cellStyle name="Comma 4 2 3 3 4 3 2" xfId="14301" xr:uid="{F228E83C-51C9-4D7D-966A-AFD413408D42}"/>
    <cellStyle name="Comma 4 2 3 3 4 3 3" xfId="22748" xr:uid="{78AC6EDB-C39E-4B36-A3EE-E7A298C168CD}"/>
    <cellStyle name="Comma 4 2 3 3 4 4" xfId="10083" xr:uid="{04F3DEAB-C9F0-4730-86B2-AC33884B04B8}"/>
    <cellStyle name="Comma 4 2 3 3 4 5" xfId="18531" xr:uid="{402983E8-68F8-415C-9286-27831AF24A66}"/>
    <cellStyle name="Comma 4 2 3 3 5" xfId="1958" xr:uid="{00000000-0005-0000-0000-000097080000}"/>
    <cellStyle name="Comma 4 2 3 3 5 2" xfId="4187" xr:uid="{00000000-0005-0000-0000-000098080000}"/>
    <cellStyle name="Comma 4 2 3 3 5 2 2" xfId="8409" xr:uid="{00000000-0005-0000-0000-000099080000}"/>
    <cellStyle name="Comma 4 2 3 3 5 2 2 2" xfId="16859" xr:uid="{1B349FE0-CD10-498A-B519-19B3DB905ADB}"/>
    <cellStyle name="Comma 4 2 3 3 5 2 2 3" xfId="25306" xr:uid="{3D757E61-81FF-4C5D-8C25-C6C5DE6D9863}"/>
    <cellStyle name="Comma 4 2 3 3 5 2 3" xfId="12641" xr:uid="{BDCD36B9-70CC-4EA9-A561-86F1F008006B}"/>
    <cellStyle name="Comma 4 2 3 3 5 2 4" xfId="21089" xr:uid="{C9F646F8-0CBF-485D-8A89-6D685D01BB52}"/>
    <cellStyle name="Comma 4 2 3 3 5 3" xfId="6264" xr:uid="{00000000-0005-0000-0000-00009A080000}"/>
    <cellStyle name="Comma 4 2 3 3 5 3 2" xfId="14714" xr:uid="{1E3CDF5D-B0B1-4C7A-B39E-2D6383258676}"/>
    <cellStyle name="Comma 4 2 3 3 5 3 3" xfId="23161" xr:uid="{08ECF1FA-D659-40EF-955D-9F31F4E65D50}"/>
    <cellStyle name="Comma 4 2 3 3 5 4" xfId="10496" xr:uid="{F1A0AF28-7FC3-44EC-8E36-0769298A5CBA}"/>
    <cellStyle name="Comma 4 2 3 3 5 5" xfId="18944" xr:uid="{42965EDE-A246-48D0-BC2E-2AB5280E7E39}"/>
    <cellStyle name="Comma 4 2 3 3 6" xfId="2393" xr:uid="{00000000-0005-0000-0000-00009B080000}"/>
    <cellStyle name="Comma 4 2 3 3 6 2" xfId="6677" xr:uid="{00000000-0005-0000-0000-00009C080000}"/>
    <cellStyle name="Comma 4 2 3 3 6 2 2" xfId="15127" xr:uid="{CEE0B918-E38F-4D28-8F7E-7029F90406EF}"/>
    <cellStyle name="Comma 4 2 3 3 6 2 3" xfId="23574" xr:uid="{385997E3-14DC-462B-87BD-66A5819801B6}"/>
    <cellStyle name="Comma 4 2 3 3 6 3" xfId="10909" xr:uid="{3FD8089C-9F5A-4F75-8B4E-F3D6056440A0}"/>
    <cellStyle name="Comma 4 2 3 3 6 4" xfId="19357" xr:uid="{2B9E8710-CA29-4DD8-B854-D4E5D124B59A}"/>
    <cellStyle name="Comma 4 2 3 3 7" xfId="2370" xr:uid="{00000000-0005-0000-0000-00009D080000}"/>
    <cellStyle name="Comma 4 2 3 3 8" xfId="2771" xr:uid="{00000000-0005-0000-0000-00009E080000}"/>
    <cellStyle name="Comma 4 2 3 3 8 2" xfId="6994" xr:uid="{00000000-0005-0000-0000-00009F080000}"/>
    <cellStyle name="Comma 4 2 3 3 8 2 2" xfId="15444" xr:uid="{0B04D1A2-E466-46E7-8F9F-EE75F1B5554E}"/>
    <cellStyle name="Comma 4 2 3 3 8 2 3" xfId="23891" xr:uid="{E053EECA-6CD6-46E9-8C0F-53E99EC72FB4}"/>
    <cellStyle name="Comma 4 2 3 3 8 3" xfId="11226" xr:uid="{BBEB9CB0-49E3-4309-BD88-B096AD67FA7E}"/>
    <cellStyle name="Comma 4 2 3 3 8 4" xfId="19674" xr:uid="{B84A6516-7FBC-403B-AB96-1C8761F4A127}"/>
    <cellStyle name="Comma 4 2 3 3 9" xfId="4611" xr:uid="{00000000-0005-0000-0000-0000A0080000}"/>
    <cellStyle name="Comma 4 2 3 3 9 2" xfId="13061" xr:uid="{5ED68F27-9400-4CF8-9C1B-3B355CFBEA9A}"/>
    <cellStyle name="Comma 4 2 3 3 9 3" xfId="21508" xr:uid="{CD10D0F6-17EA-4F74-BC87-1AF5181AA234}"/>
    <cellStyle name="Comma 4 2 3 4" xfId="674" xr:uid="{00000000-0005-0000-0000-0000A1080000}"/>
    <cellStyle name="Comma 4 2 3 4 2" xfId="2945" xr:uid="{00000000-0005-0000-0000-0000A2080000}"/>
    <cellStyle name="Comma 4 2 3 4 2 2" xfId="7167" xr:uid="{00000000-0005-0000-0000-0000A3080000}"/>
    <cellStyle name="Comma 4 2 3 4 2 2 2" xfId="15617" xr:uid="{4EA9075C-D01E-45D8-91CA-60B76B489128}"/>
    <cellStyle name="Comma 4 2 3 4 2 2 3" xfId="24064" xr:uid="{713CD36D-4412-4D7A-91B5-14C092A177F4}"/>
    <cellStyle name="Comma 4 2 3 4 2 3" xfId="11399" xr:uid="{8881E8B5-BB7D-475A-8D54-0C160FF8E6FB}"/>
    <cellStyle name="Comma 4 2 3 4 2 4" xfId="19847" xr:uid="{675C65FA-3E2E-422E-9767-A528DD0D45D1}"/>
    <cellStyle name="Comma 4 2 3 4 3" xfId="5022" xr:uid="{00000000-0005-0000-0000-0000A4080000}"/>
    <cellStyle name="Comma 4 2 3 4 3 2" xfId="13472" xr:uid="{77A134EC-5DA4-4983-A831-FDDD432C1859}"/>
    <cellStyle name="Comma 4 2 3 4 3 3" xfId="21919" xr:uid="{3D2A2451-705C-4D06-BB94-E46479550A13}"/>
    <cellStyle name="Comma 4 2 3 4 4" xfId="9254" xr:uid="{32F16481-837C-4438-B7E7-55AAB00853C4}"/>
    <cellStyle name="Comma 4 2 3 4 5" xfId="17702" xr:uid="{CA3630BC-01B9-4912-96CE-8E67FF6EDBEC}"/>
    <cellStyle name="Comma 4 2 3 5" xfId="1127" xr:uid="{00000000-0005-0000-0000-0000A5080000}"/>
    <cellStyle name="Comma 4 2 3 5 2" xfId="3358" xr:uid="{00000000-0005-0000-0000-0000A6080000}"/>
    <cellStyle name="Comma 4 2 3 5 2 2" xfId="7580" xr:uid="{00000000-0005-0000-0000-0000A7080000}"/>
    <cellStyle name="Comma 4 2 3 5 2 2 2" xfId="16030" xr:uid="{B8F7F237-BEEF-49A8-926D-CA099676CAC8}"/>
    <cellStyle name="Comma 4 2 3 5 2 2 3" xfId="24477" xr:uid="{495D7089-ABEC-4ABB-B43C-C49D5141DC76}"/>
    <cellStyle name="Comma 4 2 3 5 2 3" xfId="11812" xr:uid="{DC0BA54F-B7E1-4B2C-9A26-B68616FAB95E}"/>
    <cellStyle name="Comma 4 2 3 5 2 4" xfId="20260" xr:uid="{46B4E686-CF67-4EBB-86FE-A64D57FC8C59}"/>
    <cellStyle name="Comma 4 2 3 5 3" xfId="5435" xr:uid="{00000000-0005-0000-0000-0000A8080000}"/>
    <cellStyle name="Comma 4 2 3 5 3 2" xfId="13885" xr:uid="{FBC2FB9D-F5B4-4C51-A05F-F99EB9690D8D}"/>
    <cellStyle name="Comma 4 2 3 5 3 3" xfId="22332" xr:uid="{01ADE856-F010-4F3E-B0BC-E33713CCA3B2}"/>
    <cellStyle name="Comma 4 2 3 5 4" xfId="9667" xr:uid="{6512BF85-7693-48AC-BD8E-4FFBEE2BFB95}"/>
    <cellStyle name="Comma 4 2 3 5 5" xfId="18115" xr:uid="{03B086B6-2413-4B40-B6B4-791DCD7FF16F}"/>
    <cellStyle name="Comma 4 2 3 6" xfId="1541" xr:uid="{00000000-0005-0000-0000-0000A9080000}"/>
    <cellStyle name="Comma 4 2 3 6 2" xfId="3771" xr:uid="{00000000-0005-0000-0000-0000AA080000}"/>
    <cellStyle name="Comma 4 2 3 6 2 2" xfId="7993" xr:uid="{00000000-0005-0000-0000-0000AB080000}"/>
    <cellStyle name="Comma 4 2 3 6 2 2 2" xfId="16443" xr:uid="{0309CB43-5536-4A54-AC1E-23E352988F8D}"/>
    <cellStyle name="Comma 4 2 3 6 2 2 3" xfId="24890" xr:uid="{E32E10C7-27BE-4100-9462-F70778E61E47}"/>
    <cellStyle name="Comma 4 2 3 6 2 3" xfId="12225" xr:uid="{4618D08B-515B-4E7F-8595-336D270C41D6}"/>
    <cellStyle name="Comma 4 2 3 6 2 4" xfId="20673" xr:uid="{19FD65D7-3921-41F3-A962-CA688BE6C964}"/>
    <cellStyle name="Comma 4 2 3 6 3" xfId="5848" xr:uid="{00000000-0005-0000-0000-0000AC080000}"/>
    <cellStyle name="Comma 4 2 3 6 3 2" xfId="14298" xr:uid="{057EB25D-571A-4E44-AF9D-91CCD0932A60}"/>
    <cellStyle name="Comma 4 2 3 6 3 3" xfId="22745" xr:uid="{846090DD-F1B4-4BBA-B63D-2E2A4324D7E8}"/>
    <cellStyle name="Comma 4 2 3 6 4" xfId="10080" xr:uid="{1483830D-8213-4E2F-A818-90A15063844B}"/>
    <cellStyle name="Comma 4 2 3 6 5" xfId="18528" xr:uid="{2BF32D00-ADA6-4910-8839-7FE9FA23128B}"/>
    <cellStyle name="Comma 4 2 3 7" xfId="1955" xr:uid="{00000000-0005-0000-0000-0000AD080000}"/>
    <cellStyle name="Comma 4 2 3 7 2" xfId="4184" xr:uid="{00000000-0005-0000-0000-0000AE080000}"/>
    <cellStyle name="Comma 4 2 3 7 2 2" xfId="8406" xr:uid="{00000000-0005-0000-0000-0000AF080000}"/>
    <cellStyle name="Comma 4 2 3 7 2 2 2" xfId="16856" xr:uid="{87066AF4-D139-4666-8674-624C9A95D871}"/>
    <cellStyle name="Comma 4 2 3 7 2 2 3" xfId="25303" xr:uid="{52F78CED-1CEA-4FB9-817B-95544A03A708}"/>
    <cellStyle name="Comma 4 2 3 7 2 3" xfId="12638" xr:uid="{D695FF52-E7BC-433A-8F74-EDE5DECF574E}"/>
    <cellStyle name="Comma 4 2 3 7 2 4" xfId="21086" xr:uid="{3CE30025-B324-42AB-A601-8811056B7DF9}"/>
    <cellStyle name="Comma 4 2 3 7 3" xfId="6261" xr:uid="{00000000-0005-0000-0000-0000B0080000}"/>
    <cellStyle name="Comma 4 2 3 7 3 2" xfId="14711" xr:uid="{8552E713-7035-4BB2-B793-51AD6178E97D}"/>
    <cellStyle name="Comma 4 2 3 7 3 3" xfId="23158" xr:uid="{2FBDDC02-8AEB-4533-816F-7A7DC266BDD3}"/>
    <cellStyle name="Comma 4 2 3 7 4" xfId="10493" xr:uid="{5FBD5F3F-6961-47B8-8DE4-FFACB8B6E5FF}"/>
    <cellStyle name="Comma 4 2 3 7 5" xfId="18941" xr:uid="{766DF37B-D350-4198-BED6-2B98D8CCABF3}"/>
    <cellStyle name="Comma 4 2 3 8" xfId="2390" xr:uid="{00000000-0005-0000-0000-0000B1080000}"/>
    <cellStyle name="Comma 4 2 3 8 2" xfId="6674" xr:uid="{00000000-0005-0000-0000-0000B2080000}"/>
    <cellStyle name="Comma 4 2 3 8 2 2" xfId="15124" xr:uid="{7AD5AE0C-F2AE-4317-99AA-7A01D895C8CA}"/>
    <cellStyle name="Comma 4 2 3 8 2 3" xfId="23571" xr:uid="{981E9BE1-E95A-4748-9695-308A747A8A60}"/>
    <cellStyle name="Comma 4 2 3 8 3" xfId="10906" xr:uid="{0DAD0DE2-AD88-4603-8385-6D6A485BA51E}"/>
    <cellStyle name="Comma 4 2 3 8 4" xfId="19354" xr:uid="{B2CD821A-1552-4F0C-BDE3-597925FCABC4}"/>
    <cellStyle name="Comma 4 2 3 9" xfId="2373" xr:uid="{00000000-0005-0000-0000-0000B3080000}"/>
    <cellStyle name="Comma 4 2 4" xfId="140" xr:uid="{00000000-0005-0000-0000-0000B4080000}"/>
    <cellStyle name="Comma 4 2 4 10" xfId="4612" xr:uid="{00000000-0005-0000-0000-0000B5080000}"/>
    <cellStyle name="Comma 4 2 4 10 2" xfId="13062" xr:uid="{B987B6E3-4F67-4CDC-A6BC-5DF6CEBD4AC5}"/>
    <cellStyle name="Comma 4 2 4 10 3" xfId="21509" xr:uid="{F62901EB-275F-45E8-85AD-3320F6E807C2}"/>
    <cellStyle name="Comma 4 2 4 11" xfId="8844" xr:uid="{46B10F95-2AEF-486E-AAD4-CCF3B4874BBD}"/>
    <cellStyle name="Comma 4 2 4 12" xfId="17292" xr:uid="{6E82A19D-6C5D-48FF-94E2-BF0A259A4BD8}"/>
    <cellStyle name="Comma 4 2 4 2" xfId="141" xr:uid="{00000000-0005-0000-0000-0000B6080000}"/>
    <cellStyle name="Comma 4 2 4 2 10" xfId="8845" xr:uid="{CD158C40-225D-4E72-BA3E-F7FCF5D5ADE5}"/>
    <cellStyle name="Comma 4 2 4 2 11" xfId="17293" xr:uid="{AF017DCA-9234-4FEA-A344-67959431E6C7}"/>
    <cellStyle name="Comma 4 2 4 2 2" xfId="679" xr:uid="{00000000-0005-0000-0000-0000B7080000}"/>
    <cellStyle name="Comma 4 2 4 2 2 2" xfId="2950" xr:uid="{00000000-0005-0000-0000-0000B8080000}"/>
    <cellStyle name="Comma 4 2 4 2 2 2 2" xfId="7172" xr:uid="{00000000-0005-0000-0000-0000B9080000}"/>
    <cellStyle name="Comma 4 2 4 2 2 2 2 2" xfId="15622" xr:uid="{42672016-891C-41FE-BDC1-E769B9FFF90B}"/>
    <cellStyle name="Comma 4 2 4 2 2 2 2 3" xfId="24069" xr:uid="{D0B6A820-B9A2-4919-91D2-C9FD4BD3F353}"/>
    <cellStyle name="Comma 4 2 4 2 2 2 3" xfId="11404" xr:uid="{E4C53392-052F-4268-A151-92319186ED16}"/>
    <cellStyle name="Comma 4 2 4 2 2 2 4" xfId="19852" xr:uid="{146DDCBC-4007-449D-B447-79EFB89C9C1A}"/>
    <cellStyle name="Comma 4 2 4 2 2 3" xfId="5027" xr:uid="{00000000-0005-0000-0000-0000BA080000}"/>
    <cellStyle name="Comma 4 2 4 2 2 3 2" xfId="13477" xr:uid="{13359E71-48D5-4328-84E4-38DA5E327CD9}"/>
    <cellStyle name="Comma 4 2 4 2 2 3 3" xfId="21924" xr:uid="{EF06A77F-2571-44B5-B796-CC41FEDD3C67}"/>
    <cellStyle name="Comma 4 2 4 2 2 4" xfId="9259" xr:uid="{C3F0BACE-8B4F-413E-91B1-EAD03E04D0CC}"/>
    <cellStyle name="Comma 4 2 4 2 2 5" xfId="17707" xr:uid="{68790B09-3690-4FCC-BFDE-D27DAD290E70}"/>
    <cellStyle name="Comma 4 2 4 2 3" xfId="1132" xr:uid="{00000000-0005-0000-0000-0000BB080000}"/>
    <cellStyle name="Comma 4 2 4 2 3 2" xfId="3363" xr:uid="{00000000-0005-0000-0000-0000BC080000}"/>
    <cellStyle name="Comma 4 2 4 2 3 2 2" xfId="7585" xr:uid="{00000000-0005-0000-0000-0000BD080000}"/>
    <cellStyle name="Comma 4 2 4 2 3 2 2 2" xfId="16035" xr:uid="{1E30DC7F-2F41-49DF-B9CC-59FC4D0160F3}"/>
    <cellStyle name="Comma 4 2 4 2 3 2 2 3" xfId="24482" xr:uid="{9D25CB51-BA8F-4270-AA28-96FD6436A21A}"/>
    <cellStyle name="Comma 4 2 4 2 3 2 3" xfId="11817" xr:uid="{51B90B17-9D52-456A-86B5-7C77B65E0045}"/>
    <cellStyle name="Comma 4 2 4 2 3 2 4" xfId="20265" xr:uid="{B1787692-A74F-47AD-9380-D05A8801EAAD}"/>
    <cellStyle name="Comma 4 2 4 2 3 3" xfId="5440" xr:uid="{00000000-0005-0000-0000-0000BE080000}"/>
    <cellStyle name="Comma 4 2 4 2 3 3 2" xfId="13890" xr:uid="{90ED7AE6-EC27-4731-AC29-1714FCB2502E}"/>
    <cellStyle name="Comma 4 2 4 2 3 3 3" xfId="22337" xr:uid="{928ABDD4-BD0D-4886-9BC2-763DECD0572F}"/>
    <cellStyle name="Comma 4 2 4 2 3 4" xfId="9672" xr:uid="{06190B3D-7D5E-45A9-AE1A-F50BF8A8FAFD}"/>
    <cellStyle name="Comma 4 2 4 2 3 5" xfId="18120" xr:uid="{560FAC0E-036F-414C-8B59-2AE2A0B689D5}"/>
    <cellStyle name="Comma 4 2 4 2 4" xfId="1546" xr:uid="{00000000-0005-0000-0000-0000BF080000}"/>
    <cellStyle name="Comma 4 2 4 2 4 2" xfId="3776" xr:uid="{00000000-0005-0000-0000-0000C0080000}"/>
    <cellStyle name="Comma 4 2 4 2 4 2 2" xfId="7998" xr:uid="{00000000-0005-0000-0000-0000C1080000}"/>
    <cellStyle name="Comma 4 2 4 2 4 2 2 2" xfId="16448" xr:uid="{516158DC-EA2B-4AC8-93E6-5EA2170A539D}"/>
    <cellStyle name="Comma 4 2 4 2 4 2 2 3" xfId="24895" xr:uid="{B23DF944-C5FE-4CBB-A2A9-B505CE71AEAA}"/>
    <cellStyle name="Comma 4 2 4 2 4 2 3" xfId="12230" xr:uid="{522B387E-FAF1-4AE5-A35C-F778E81EF281}"/>
    <cellStyle name="Comma 4 2 4 2 4 2 4" xfId="20678" xr:uid="{B8D2E858-4B7C-4321-9DBF-61F25FD7A973}"/>
    <cellStyle name="Comma 4 2 4 2 4 3" xfId="5853" xr:uid="{00000000-0005-0000-0000-0000C2080000}"/>
    <cellStyle name="Comma 4 2 4 2 4 3 2" xfId="14303" xr:uid="{8ADD1FDA-C62E-4BD3-B305-D197AA0831F5}"/>
    <cellStyle name="Comma 4 2 4 2 4 3 3" xfId="22750" xr:uid="{08DDCA12-8E20-4997-A281-EFB8E0403EB9}"/>
    <cellStyle name="Comma 4 2 4 2 4 4" xfId="10085" xr:uid="{2FF38498-5AF3-4653-94A4-0AB3AF36BC6A}"/>
    <cellStyle name="Comma 4 2 4 2 4 5" xfId="18533" xr:uid="{5C3D0F33-E7C4-4FDB-9C95-1A035A48D1A2}"/>
    <cellStyle name="Comma 4 2 4 2 5" xfId="1960" xr:uid="{00000000-0005-0000-0000-0000C3080000}"/>
    <cellStyle name="Comma 4 2 4 2 5 2" xfId="4189" xr:uid="{00000000-0005-0000-0000-0000C4080000}"/>
    <cellStyle name="Comma 4 2 4 2 5 2 2" xfId="8411" xr:uid="{00000000-0005-0000-0000-0000C5080000}"/>
    <cellStyle name="Comma 4 2 4 2 5 2 2 2" xfId="16861" xr:uid="{B40988FC-126C-484B-AE3E-B4EEC1C64D50}"/>
    <cellStyle name="Comma 4 2 4 2 5 2 2 3" xfId="25308" xr:uid="{AD12A9D6-7222-42EE-BCFA-7DDC779D1C91}"/>
    <cellStyle name="Comma 4 2 4 2 5 2 3" xfId="12643" xr:uid="{3CEAA28F-5F20-444B-A3B2-75C832390031}"/>
    <cellStyle name="Comma 4 2 4 2 5 2 4" xfId="21091" xr:uid="{EE63ABB8-E10D-41D4-8571-180160557C60}"/>
    <cellStyle name="Comma 4 2 4 2 5 3" xfId="6266" xr:uid="{00000000-0005-0000-0000-0000C6080000}"/>
    <cellStyle name="Comma 4 2 4 2 5 3 2" xfId="14716" xr:uid="{C60371D7-54D1-4E8C-A383-8115DE48E1BB}"/>
    <cellStyle name="Comma 4 2 4 2 5 3 3" xfId="23163" xr:uid="{CB65F002-4DDE-4657-8EB0-F9C00A482C11}"/>
    <cellStyle name="Comma 4 2 4 2 5 4" xfId="10498" xr:uid="{8ADAC39D-E8E9-44F2-BD3C-D455CAB321EE}"/>
    <cellStyle name="Comma 4 2 4 2 5 5" xfId="18946" xr:uid="{9E45043E-B36E-45C1-A593-53AD13FB430A}"/>
    <cellStyle name="Comma 4 2 4 2 6" xfId="2395" xr:uid="{00000000-0005-0000-0000-0000C7080000}"/>
    <cellStyle name="Comma 4 2 4 2 6 2" xfId="6679" xr:uid="{00000000-0005-0000-0000-0000C8080000}"/>
    <cellStyle name="Comma 4 2 4 2 6 2 2" xfId="15129" xr:uid="{3931B7A7-8945-4B2F-868F-81564A2A8805}"/>
    <cellStyle name="Comma 4 2 4 2 6 2 3" xfId="23576" xr:uid="{B1CE817C-D785-4F76-9BE0-829C9B962BFC}"/>
    <cellStyle name="Comma 4 2 4 2 6 3" xfId="10911" xr:uid="{E3CF03AD-AA67-4F50-9E72-CDD6DEDF3755}"/>
    <cellStyle name="Comma 4 2 4 2 6 4" xfId="19359" xr:uid="{DB13D031-8DF7-47C1-AEE5-FF16EEB1ADBC}"/>
    <cellStyle name="Comma 4 2 4 2 7" xfId="2368" xr:uid="{00000000-0005-0000-0000-0000C9080000}"/>
    <cellStyle name="Comma 4 2 4 2 8" xfId="2773" xr:uid="{00000000-0005-0000-0000-0000CA080000}"/>
    <cellStyle name="Comma 4 2 4 2 8 2" xfId="6996" xr:uid="{00000000-0005-0000-0000-0000CB080000}"/>
    <cellStyle name="Comma 4 2 4 2 8 2 2" xfId="15446" xr:uid="{A5ABD47B-4B91-4093-803C-4C5A411F9B10}"/>
    <cellStyle name="Comma 4 2 4 2 8 2 3" xfId="23893" xr:uid="{7D2F94E5-1B31-4C08-ACDC-B0E652F76326}"/>
    <cellStyle name="Comma 4 2 4 2 8 3" xfId="11228" xr:uid="{32F74B32-04A8-4887-B50A-E01090BC0D71}"/>
    <cellStyle name="Comma 4 2 4 2 8 4" xfId="19676" xr:uid="{2D6243F5-979F-4631-BA7D-034A80988516}"/>
    <cellStyle name="Comma 4 2 4 2 9" xfId="4613" xr:uid="{00000000-0005-0000-0000-0000CC080000}"/>
    <cellStyle name="Comma 4 2 4 2 9 2" xfId="13063" xr:uid="{089B9112-5B60-4E7C-B616-D87BE9286FB5}"/>
    <cellStyle name="Comma 4 2 4 2 9 3" xfId="21510" xr:uid="{FDE89DCD-E567-4C8B-9799-F999D87545FA}"/>
    <cellStyle name="Comma 4 2 4 3" xfId="678" xr:uid="{00000000-0005-0000-0000-0000CD080000}"/>
    <cellStyle name="Comma 4 2 4 3 2" xfId="2949" xr:uid="{00000000-0005-0000-0000-0000CE080000}"/>
    <cellStyle name="Comma 4 2 4 3 2 2" xfId="7171" xr:uid="{00000000-0005-0000-0000-0000CF080000}"/>
    <cellStyle name="Comma 4 2 4 3 2 2 2" xfId="15621" xr:uid="{26A5A6DE-0426-499F-8D55-966A7173B7A4}"/>
    <cellStyle name="Comma 4 2 4 3 2 2 3" xfId="24068" xr:uid="{425AE134-63AC-4291-B56D-2243BF4F472B}"/>
    <cellStyle name="Comma 4 2 4 3 2 3" xfId="11403" xr:uid="{C9B5869A-DCCE-471E-B229-E77BFD45219A}"/>
    <cellStyle name="Comma 4 2 4 3 2 4" xfId="19851" xr:uid="{7D5751F7-EF61-4E58-BA2D-78E12AD8DEAB}"/>
    <cellStyle name="Comma 4 2 4 3 3" xfId="5026" xr:uid="{00000000-0005-0000-0000-0000D0080000}"/>
    <cellStyle name="Comma 4 2 4 3 3 2" xfId="13476" xr:uid="{EAD9C2A0-707E-44A2-BB6D-4A57AB06470B}"/>
    <cellStyle name="Comma 4 2 4 3 3 3" xfId="21923" xr:uid="{63F260F0-EA0D-416E-9D0A-C98A56004BF9}"/>
    <cellStyle name="Comma 4 2 4 3 4" xfId="9258" xr:uid="{C9726937-093B-4816-86B8-7249338513B7}"/>
    <cellStyle name="Comma 4 2 4 3 5" xfId="17706" xr:uid="{CB9284A7-28C6-4DF7-A412-E19DCB7DAB17}"/>
    <cellStyle name="Comma 4 2 4 4" xfId="1131" xr:uid="{00000000-0005-0000-0000-0000D1080000}"/>
    <cellStyle name="Comma 4 2 4 4 2" xfId="3362" xr:uid="{00000000-0005-0000-0000-0000D2080000}"/>
    <cellStyle name="Comma 4 2 4 4 2 2" xfId="7584" xr:uid="{00000000-0005-0000-0000-0000D3080000}"/>
    <cellStyle name="Comma 4 2 4 4 2 2 2" xfId="16034" xr:uid="{C23E280B-87F2-4B15-A9BE-221A62823F4C}"/>
    <cellStyle name="Comma 4 2 4 4 2 2 3" xfId="24481" xr:uid="{7C5B565F-FE10-4754-BDFA-BE183B2114BC}"/>
    <cellStyle name="Comma 4 2 4 4 2 3" xfId="11816" xr:uid="{2DB60942-8967-4B49-BB1D-8AC9096A811B}"/>
    <cellStyle name="Comma 4 2 4 4 2 4" xfId="20264" xr:uid="{DB736A62-6D1E-425E-AF46-ABECD347FA44}"/>
    <cellStyle name="Comma 4 2 4 4 3" xfId="5439" xr:uid="{00000000-0005-0000-0000-0000D4080000}"/>
    <cellStyle name="Comma 4 2 4 4 3 2" xfId="13889" xr:uid="{ABA96403-A47D-4B08-AA47-EC3C377D4085}"/>
    <cellStyle name="Comma 4 2 4 4 3 3" xfId="22336" xr:uid="{8F52B19D-5890-469B-B944-8C5222F234E8}"/>
    <cellStyle name="Comma 4 2 4 4 4" xfId="9671" xr:uid="{B4C2B7A7-3359-4A01-8B52-245D4A823B96}"/>
    <cellStyle name="Comma 4 2 4 4 5" xfId="18119" xr:uid="{57456534-4B49-4913-B547-A57A20006E82}"/>
    <cellStyle name="Comma 4 2 4 5" xfId="1545" xr:uid="{00000000-0005-0000-0000-0000D5080000}"/>
    <cellStyle name="Comma 4 2 4 5 2" xfId="3775" xr:uid="{00000000-0005-0000-0000-0000D6080000}"/>
    <cellStyle name="Comma 4 2 4 5 2 2" xfId="7997" xr:uid="{00000000-0005-0000-0000-0000D7080000}"/>
    <cellStyle name="Comma 4 2 4 5 2 2 2" xfId="16447" xr:uid="{054CD0B1-8D4D-4439-BC9C-D2FFF62CC370}"/>
    <cellStyle name="Comma 4 2 4 5 2 2 3" xfId="24894" xr:uid="{ACE99BFD-454D-481E-ADCC-50023198B7BA}"/>
    <cellStyle name="Comma 4 2 4 5 2 3" xfId="12229" xr:uid="{6474C4A6-E806-4FA0-ACB8-2ABEA8BCC433}"/>
    <cellStyle name="Comma 4 2 4 5 2 4" xfId="20677" xr:uid="{221C10D5-90E8-44B0-938A-5786CFBF37E6}"/>
    <cellStyle name="Comma 4 2 4 5 3" xfId="5852" xr:uid="{00000000-0005-0000-0000-0000D8080000}"/>
    <cellStyle name="Comma 4 2 4 5 3 2" xfId="14302" xr:uid="{4DC4D5C5-81D2-4A80-AED7-645D36A90A0D}"/>
    <cellStyle name="Comma 4 2 4 5 3 3" xfId="22749" xr:uid="{41FABB9C-5E97-4AF6-AE7A-C9EA2BC8A8CE}"/>
    <cellStyle name="Comma 4 2 4 5 4" xfId="10084" xr:uid="{2C61073B-5AA3-4967-8863-DB71CAC64FE5}"/>
    <cellStyle name="Comma 4 2 4 5 5" xfId="18532" xr:uid="{DBC484FB-896D-4FE2-A6EE-5A68F292E728}"/>
    <cellStyle name="Comma 4 2 4 6" xfId="1959" xr:uid="{00000000-0005-0000-0000-0000D9080000}"/>
    <cellStyle name="Comma 4 2 4 6 2" xfId="4188" xr:uid="{00000000-0005-0000-0000-0000DA080000}"/>
    <cellStyle name="Comma 4 2 4 6 2 2" xfId="8410" xr:uid="{00000000-0005-0000-0000-0000DB080000}"/>
    <cellStyle name="Comma 4 2 4 6 2 2 2" xfId="16860" xr:uid="{98AAB2AE-86D0-42ED-B4EF-BE2DCDCBEBBC}"/>
    <cellStyle name="Comma 4 2 4 6 2 2 3" xfId="25307" xr:uid="{625E2118-1065-4D04-9CE2-E601DED2B211}"/>
    <cellStyle name="Comma 4 2 4 6 2 3" xfId="12642" xr:uid="{4321BB85-15DA-4CDB-B972-D509668C3911}"/>
    <cellStyle name="Comma 4 2 4 6 2 4" xfId="21090" xr:uid="{365DCB3E-BF16-44E4-906C-8455B72D4A44}"/>
    <cellStyle name="Comma 4 2 4 6 3" xfId="6265" xr:uid="{00000000-0005-0000-0000-0000DC080000}"/>
    <cellStyle name="Comma 4 2 4 6 3 2" xfId="14715" xr:uid="{FD67A0B7-2CC3-47CA-85A6-7AF4140D9D57}"/>
    <cellStyle name="Comma 4 2 4 6 3 3" xfId="23162" xr:uid="{72EC49B0-6A30-4D7C-A27A-859176F40F7A}"/>
    <cellStyle name="Comma 4 2 4 6 4" xfId="10497" xr:uid="{A380AC76-372C-4605-8135-8CDCBD93AA87}"/>
    <cellStyle name="Comma 4 2 4 6 5" xfId="18945" xr:uid="{90867736-D64D-4363-A033-CC379FF9A64C}"/>
    <cellStyle name="Comma 4 2 4 7" xfId="2394" xr:uid="{00000000-0005-0000-0000-0000DD080000}"/>
    <cellStyle name="Comma 4 2 4 7 2" xfId="6678" xr:uid="{00000000-0005-0000-0000-0000DE080000}"/>
    <cellStyle name="Comma 4 2 4 7 2 2" xfId="15128" xr:uid="{95B949C4-D10B-4C53-886D-9C90F6FD9C6C}"/>
    <cellStyle name="Comma 4 2 4 7 2 3" xfId="23575" xr:uid="{FB043BCD-C001-4533-8A1B-4F28874F8F7C}"/>
    <cellStyle name="Comma 4 2 4 7 3" xfId="10910" xr:uid="{839A47E2-4B0B-442D-AF7B-AAD16191A5F2}"/>
    <cellStyle name="Comma 4 2 4 7 4" xfId="19358" xr:uid="{96377F7F-CFAA-400D-8C05-D6C7E03BDD9A}"/>
    <cellStyle name="Comma 4 2 4 8" xfId="2369" xr:uid="{00000000-0005-0000-0000-0000DF080000}"/>
    <cellStyle name="Comma 4 2 4 9" xfId="2772" xr:uid="{00000000-0005-0000-0000-0000E0080000}"/>
    <cellStyle name="Comma 4 2 4 9 2" xfId="6995" xr:uid="{00000000-0005-0000-0000-0000E1080000}"/>
    <cellStyle name="Comma 4 2 4 9 2 2" xfId="15445" xr:uid="{847DD7A9-CC8A-4181-9EA8-1C5B3DADE1AF}"/>
    <cellStyle name="Comma 4 2 4 9 2 3" xfId="23892" xr:uid="{B159EBD9-88BA-481F-96C2-BD441EE92645}"/>
    <cellStyle name="Comma 4 2 4 9 3" xfId="11227" xr:uid="{88B2BECB-5FB5-4680-A3A6-7B944332AD00}"/>
    <cellStyle name="Comma 4 2 4 9 4" xfId="19675" xr:uid="{65CF4A60-6FEE-4581-B4E4-2F7A4203B963}"/>
    <cellStyle name="Comma 4 2 5" xfId="142" xr:uid="{00000000-0005-0000-0000-0000E2080000}"/>
    <cellStyle name="Comma 4 2 5 10" xfId="8846" xr:uid="{386DB8F2-DF8C-42C1-9F40-1F3D09A1F728}"/>
    <cellStyle name="Comma 4 2 5 11" xfId="17294" xr:uid="{9E5E0EC8-44B3-4736-A01B-90D19BD514F2}"/>
    <cellStyle name="Comma 4 2 5 2" xfId="680" xr:uid="{00000000-0005-0000-0000-0000E3080000}"/>
    <cellStyle name="Comma 4 2 5 2 2" xfId="2951" xr:uid="{00000000-0005-0000-0000-0000E4080000}"/>
    <cellStyle name="Comma 4 2 5 2 2 2" xfId="7173" xr:uid="{00000000-0005-0000-0000-0000E5080000}"/>
    <cellStyle name="Comma 4 2 5 2 2 2 2" xfId="15623" xr:uid="{A9F52412-D82C-411D-A9CA-3EC8845F1307}"/>
    <cellStyle name="Comma 4 2 5 2 2 2 3" xfId="24070" xr:uid="{33BA76F9-739D-4E87-A392-DBD74342CB9D}"/>
    <cellStyle name="Comma 4 2 5 2 2 3" xfId="11405" xr:uid="{DF0666D4-BC77-473C-97DF-90A6F42E3A4D}"/>
    <cellStyle name="Comma 4 2 5 2 2 4" xfId="19853" xr:uid="{DFF7570C-81B2-470C-8392-3A853E1799C6}"/>
    <cellStyle name="Comma 4 2 5 2 3" xfId="5028" xr:uid="{00000000-0005-0000-0000-0000E6080000}"/>
    <cellStyle name="Comma 4 2 5 2 3 2" xfId="13478" xr:uid="{18E83F3C-DF90-4F27-9E26-A941E3208B3F}"/>
    <cellStyle name="Comma 4 2 5 2 3 3" xfId="21925" xr:uid="{69D4F9DC-50DB-49DF-911C-59511C311DA0}"/>
    <cellStyle name="Comma 4 2 5 2 4" xfId="9260" xr:uid="{54EC4EB4-D7A8-4A0D-B7AD-FB763DC91702}"/>
    <cellStyle name="Comma 4 2 5 2 5" xfId="17708" xr:uid="{C50068DF-CE3A-4D76-8F44-2E91517157F8}"/>
    <cellStyle name="Comma 4 2 5 3" xfId="1133" xr:uid="{00000000-0005-0000-0000-0000E7080000}"/>
    <cellStyle name="Comma 4 2 5 3 2" xfId="3364" xr:uid="{00000000-0005-0000-0000-0000E8080000}"/>
    <cellStyle name="Comma 4 2 5 3 2 2" xfId="7586" xr:uid="{00000000-0005-0000-0000-0000E9080000}"/>
    <cellStyle name="Comma 4 2 5 3 2 2 2" xfId="16036" xr:uid="{95F5B99B-AE63-4104-9E8A-47A1E5E99929}"/>
    <cellStyle name="Comma 4 2 5 3 2 2 3" xfId="24483" xr:uid="{239D8F0F-D797-4061-86B7-5E22CED736BE}"/>
    <cellStyle name="Comma 4 2 5 3 2 3" xfId="11818" xr:uid="{742D7B1B-988B-44E4-B587-F4E641E0609A}"/>
    <cellStyle name="Comma 4 2 5 3 2 4" xfId="20266" xr:uid="{E0E8BD0B-FC51-4B39-BA83-4810AFE7EA01}"/>
    <cellStyle name="Comma 4 2 5 3 3" xfId="5441" xr:uid="{00000000-0005-0000-0000-0000EA080000}"/>
    <cellStyle name="Comma 4 2 5 3 3 2" xfId="13891" xr:uid="{88EE8AAD-A70D-4E8C-BF9D-D09420A2A7E6}"/>
    <cellStyle name="Comma 4 2 5 3 3 3" xfId="22338" xr:uid="{6D45CA53-53AE-4ACE-B6A8-E3BBF6EAA81F}"/>
    <cellStyle name="Comma 4 2 5 3 4" xfId="9673" xr:uid="{5BA07232-51B8-40C1-81DF-24452EF48412}"/>
    <cellStyle name="Comma 4 2 5 3 5" xfId="18121" xr:uid="{A42B96B3-53B4-4084-AED4-8A30B99F8822}"/>
    <cellStyle name="Comma 4 2 5 4" xfId="1547" xr:uid="{00000000-0005-0000-0000-0000EB080000}"/>
    <cellStyle name="Comma 4 2 5 4 2" xfId="3777" xr:uid="{00000000-0005-0000-0000-0000EC080000}"/>
    <cellStyle name="Comma 4 2 5 4 2 2" xfId="7999" xr:uid="{00000000-0005-0000-0000-0000ED080000}"/>
    <cellStyle name="Comma 4 2 5 4 2 2 2" xfId="16449" xr:uid="{70D0925C-3737-4209-9D18-ED88EA1095A2}"/>
    <cellStyle name="Comma 4 2 5 4 2 2 3" xfId="24896" xr:uid="{7F6CF8AE-21A4-47EE-B144-A8E125DEAD65}"/>
    <cellStyle name="Comma 4 2 5 4 2 3" xfId="12231" xr:uid="{B1C575B8-CE35-4FCE-B20F-E42A708AB15A}"/>
    <cellStyle name="Comma 4 2 5 4 2 4" xfId="20679" xr:uid="{27262A33-EAA7-4403-BB89-D6C135739BCD}"/>
    <cellStyle name="Comma 4 2 5 4 3" xfId="5854" xr:uid="{00000000-0005-0000-0000-0000EE080000}"/>
    <cellStyle name="Comma 4 2 5 4 3 2" xfId="14304" xr:uid="{FE609545-FB4D-4411-AE9A-BC7D4063BA7E}"/>
    <cellStyle name="Comma 4 2 5 4 3 3" xfId="22751" xr:uid="{525FC370-6127-468C-8B5C-8AC39826E606}"/>
    <cellStyle name="Comma 4 2 5 4 4" xfId="10086" xr:uid="{44D08D9D-19C9-409C-815A-29DD2794F586}"/>
    <cellStyle name="Comma 4 2 5 4 5" xfId="18534" xr:uid="{79CA7D08-345B-4DFE-A7F1-6F889F718CAC}"/>
    <cellStyle name="Comma 4 2 5 5" xfId="1961" xr:uid="{00000000-0005-0000-0000-0000EF080000}"/>
    <cellStyle name="Comma 4 2 5 5 2" xfId="4190" xr:uid="{00000000-0005-0000-0000-0000F0080000}"/>
    <cellStyle name="Comma 4 2 5 5 2 2" xfId="8412" xr:uid="{00000000-0005-0000-0000-0000F1080000}"/>
    <cellStyle name="Comma 4 2 5 5 2 2 2" xfId="16862" xr:uid="{A81C92C3-58AF-4E91-9FA2-4BCC5075E80E}"/>
    <cellStyle name="Comma 4 2 5 5 2 2 3" xfId="25309" xr:uid="{E9BA6A46-767A-4B70-9BCB-EEAD023A6D34}"/>
    <cellStyle name="Comma 4 2 5 5 2 3" xfId="12644" xr:uid="{6F9E1A79-3CFD-4B0A-AA16-7E90861B29D3}"/>
    <cellStyle name="Comma 4 2 5 5 2 4" xfId="21092" xr:uid="{B2BE4D13-416F-4A1A-A36E-6D49DD5A8C75}"/>
    <cellStyle name="Comma 4 2 5 5 3" xfId="6267" xr:uid="{00000000-0005-0000-0000-0000F2080000}"/>
    <cellStyle name="Comma 4 2 5 5 3 2" xfId="14717" xr:uid="{9A325AD0-6450-4E4C-825A-E86D753045A0}"/>
    <cellStyle name="Comma 4 2 5 5 3 3" xfId="23164" xr:uid="{8B3154D0-27D8-45A7-99FF-09D464E055CC}"/>
    <cellStyle name="Comma 4 2 5 5 4" xfId="10499" xr:uid="{36F8DCFD-B1D4-40CD-B362-D905D976D83F}"/>
    <cellStyle name="Comma 4 2 5 5 5" xfId="18947" xr:uid="{D6C8E932-E8C2-474C-B88F-A28D93A9BC10}"/>
    <cellStyle name="Comma 4 2 5 6" xfId="2396" xr:uid="{00000000-0005-0000-0000-0000F3080000}"/>
    <cellStyle name="Comma 4 2 5 6 2" xfId="6680" xr:uid="{00000000-0005-0000-0000-0000F4080000}"/>
    <cellStyle name="Comma 4 2 5 6 2 2" xfId="15130" xr:uid="{60879955-9DC4-4E0B-9E13-85ABD7CC6AA0}"/>
    <cellStyle name="Comma 4 2 5 6 2 3" xfId="23577" xr:uid="{44F765B3-067A-4F4F-9FF1-1B10A7689CBE}"/>
    <cellStyle name="Comma 4 2 5 6 3" xfId="10912" xr:uid="{736DB4F9-4CF5-4048-9260-5381D1E7300D}"/>
    <cellStyle name="Comma 4 2 5 6 4" xfId="19360" xr:uid="{22B8C863-FCED-4EDF-9216-B5D45E70A1E6}"/>
    <cellStyle name="Comma 4 2 5 7" xfId="2367" xr:uid="{00000000-0005-0000-0000-0000F5080000}"/>
    <cellStyle name="Comma 4 2 5 8" xfId="2774" xr:uid="{00000000-0005-0000-0000-0000F6080000}"/>
    <cellStyle name="Comma 4 2 5 8 2" xfId="6997" xr:uid="{00000000-0005-0000-0000-0000F7080000}"/>
    <cellStyle name="Comma 4 2 5 8 2 2" xfId="15447" xr:uid="{CEAF75FE-735E-4EB4-8AF3-FF2B45BD9E85}"/>
    <cellStyle name="Comma 4 2 5 8 2 3" xfId="23894" xr:uid="{97B32EBD-6992-4EF3-BCF9-61A787A23127}"/>
    <cellStyle name="Comma 4 2 5 8 3" xfId="11229" xr:uid="{1FFE89D4-E94D-40E9-99B7-0BAE2FC3E936}"/>
    <cellStyle name="Comma 4 2 5 8 4" xfId="19677" xr:uid="{3440E873-8EDD-4787-BF3F-7E176815C9F6}"/>
    <cellStyle name="Comma 4 2 5 9" xfId="4614" xr:uid="{00000000-0005-0000-0000-0000F8080000}"/>
    <cellStyle name="Comma 4 2 5 9 2" xfId="13064" xr:uid="{A382A535-F0A9-4D69-A26B-393B92DE6350}"/>
    <cellStyle name="Comma 4 2 5 9 3" xfId="21511" xr:uid="{AB062AF9-81C7-4326-9951-55E77A99C18E}"/>
    <cellStyle name="Comma 4 2 6" xfId="143" xr:uid="{00000000-0005-0000-0000-0000F9080000}"/>
    <cellStyle name="Comma 4 2 6 10" xfId="8847" xr:uid="{EADCE164-53B3-4DEF-95E8-76423FB8B1F2}"/>
    <cellStyle name="Comma 4 2 6 11" xfId="17295" xr:uid="{EC3DE0AF-AE1E-484E-9890-1575D7F1A610}"/>
    <cellStyle name="Comma 4 2 6 2" xfId="681" xr:uid="{00000000-0005-0000-0000-0000FA080000}"/>
    <cellStyle name="Comma 4 2 6 2 2" xfId="2952" xr:uid="{00000000-0005-0000-0000-0000FB080000}"/>
    <cellStyle name="Comma 4 2 6 2 2 2" xfId="7174" xr:uid="{00000000-0005-0000-0000-0000FC080000}"/>
    <cellStyle name="Comma 4 2 6 2 2 2 2" xfId="15624" xr:uid="{BF55F120-EE95-42B1-A12E-EED5594E0F97}"/>
    <cellStyle name="Comma 4 2 6 2 2 2 3" xfId="24071" xr:uid="{02A582EA-7875-4006-8357-741E07BCA2BD}"/>
    <cellStyle name="Comma 4 2 6 2 2 3" xfId="11406" xr:uid="{CE8C1D85-3F70-46D5-8B3D-032B2A9B186D}"/>
    <cellStyle name="Comma 4 2 6 2 2 4" xfId="19854" xr:uid="{61D8F70C-B252-4D22-9BB3-4AC9E12DFCC9}"/>
    <cellStyle name="Comma 4 2 6 2 3" xfId="5029" xr:uid="{00000000-0005-0000-0000-0000FD080000}"/>
    <cellStyle name="Comma 4 2 6 2 3 2" xfId="13479" xr:uid="{F96E54F5-E72F-482E-BCA4-FB3CE2D117B8}"/>
    <cellStyle name="Comma 4 2 6 2 3 3" xfId="21926" xr:uid="{44CD97C0-0E39-4458-AF32-0D1CB2CF87E6}"/>
    <cellStyle name="Comma 4 2 6 2 4" xfId="9261" xr:uid="{BE1253EB-9F25-4E30-AA2A-9C2C91DED136}"/>
    <cellStyle name="Comma 4 2 6 2 5" xfId="17709" xr:uid="{F5B64399-56D9-44A4-AF91-269B01D3E3E0}"/>
    <cellStyle name="Comma 4 2 6 3" xfId="1134" xr:uid="{00000000-0005-0000-0000-0000FE080000}"/>
    <cellStyle name="Comma 4 2 6 3 2" xfId="3365" xr:uid="{00000000-0005-0000-0000-0000FF080000}"/>
    <cellStyle name="Comma 4 2 6 3 2 2" xfId="7587" xr:uid="{00000000-0005-0000-0000-000000090000}"/>
    <cellStyle name="Comma 4 2 6 3 2 2 2" xfId="16037" xr:uid="{69D1EE20-316C-4C9D-8A53-979B1BAB504E}"/>
    <cellStyle name="Comma 4 2 6 3 2 2 3" xfId="24484" xr:uid="{D403911A-AE12-4BBB-B2CC-B5E495DB67D2}"/>
    <cellStyle name="Comma 4 2 6 3 2 3" xfId="11819" xr:uid="{01A73FEA-08AD-470C-ABD2-A3C1270E1C97}"/>
    <cellStyle name="Comma 4 2 6 3 2 4" xfId="20267" xr:uid="{CF217200-5EE3-4A2D-9651-C3DC1B9EB455}"/>
    <cellStyle name="Comma 4 2 6 3 3" xfId="5442" xr:uid="{00000000-0005-0000-0000-000001090000}"/>
    <cellStyle name="Comma 4 2 6 3 3 2" xfId="13892" xr:uid="{B1366497-667E-4F9A-AA97-10D0BE9BAD56}"/>
    <cellStyle name="Comma 4 2 6 3 3 3" xfId="22339" xr:uid="{BE6E6868-1AF3-47DD-9F47-1A1E935A5762}"/>
    <cellStyle name="Comma 4 2 6 3 4" xfId="9674" xr:uid="{DE8E096C-1ED4-4EFA-B079-DA35A629A364}"/>
    <cellStyle name="Comma 4 2 6 3 5" xfId="18122" xr:uid="{7214ECA8-076E-46C5-8B13-602ACF325015}"/>
    <cellStyle name="Comma 4 2 6 4" xfId="1548" xr:uid="{00000000-0005-0000-0000-000002090000}"/>
    <cellStyle name="Comma 4 2 6 4 2" xfId="3778" xr:uid="{00000000-0005-0000-0000-000003090000}"/>
    <cellStyle name="Comma 4 2 6 4 2 2" xfId="8000" xr:uid="{00000000-0005-0000-0000-000004090000}"/>
    <cellStyle name="Comma 4 2 6 4 2 2 2" xfId="16450" xr:uid="{F40C67C5-0761-40BB-8C94-FC8B73582F57}"/>
    <cellStyle name="Comma 4 2 6 4 2 2 3" xfId="24897" xr:uid="{5B1EED9D-B5EB-498B-BC28-83CA54FE1670}"/>
    <cellStyle name="Comma 4 2 6 4 2 3" xfId="12232" xr:uid="{D41A6A92-589F-4365-A66E-3C1DF4949EFC}"/>
    <cellStyle name="Comma 4 2 6 4 2 4" xfId="20680" xr:uid="{3A689CC3-E13C-4CC3-BFED-BB57D596E035}"/>
    <cellStyle name="Comma 4 2 6 4 3" xfId="5855" xr:uid="{00000000-0005-0000-0000-000005090000}"/>
    <cellStyle name="Comma 4 2 6 4 3 2" xfId="14305" xr:uid="{8D7407F0-B898-4E14-86AC-9C0EEE5D532A}"/>
    <cellStyle name="Comma 4 2 6 4 3 3" xfId="22752" xr:uid="{90AAFA34-6EAC-444B-B6E8-8FD6240D0DCF}"/>
    <cellStyle name="Comma 4 2 6 4 4" xfId="10087" xr:uid="{039DE6CF-33F9-4F83-88FA-64B97292FF9A}"/>
    <cellStyle name="Comma 4 2 6 4 5" xfId="18535" xr:uid="{2F3FAED4-CA82-44CF-B22A-4C08968F2516}"/>
    <cellStyle name="Comma 4 2 6 5" xfId="1962" xr:uid="{00000000-0005-0000-0000-000006090000}"/>
    <cellStyle name="Comma 4 2 6 5 2" xfId="4191" xr:uid="{00000000-0005-0000-0000-000007090000}"/>
    <cellStyle name="Comma 4 2 6 5 2 2" xfId="8413" xr:uid="{00000000-0005-0000-0000-000008090000}"/>
    <cellStyle name="Comma 4 2 6 5 2 2 2" xfId="16863" xr:uid="{8D571FD5-3CC6-4D4B-B45D-54F23D6BF715}"/>
    <cellStyle name="Comma 4 2 6 5 2 2 3" xfId="25310" xr:uid="{418B290E-4D0C-46D6-847A-FF2061A7FC88}"/>
    <cellStyle name="Comma 4 2 6 5 2 3" xfId="12645" xr:uid="{BB708EDB-F04B-4386-AD64-C632F9B03385}"/>
    <cellStyle name="Comma 4 2 6 5 2 4" xfId="21093" xr:uid="{4D40E8E5-5F78-43F8-A01E-468D51CE6E44}"/>
    <cellStyle name="Comma 4 2 6 5 3" xfId="6268" xr:uid="{00000000-0005-0000-0000-000009090000}"/>
    <cellStyle name="Comma 4 2 6 5 3 2" xfId="14718" xr:uid="{0BE9BB7F-EBEB-4EE7-8324-51170ADFA8B3}"/>
    <cellStyle name="Comma 4 2 6 5 3 3" xfId="23165" xr:uid="{B0B37113-5640-4796-B3DC-D662387FFF94}"/>
    <cellStyle name="Comma 4 2 6 5 4" xfId="10500" xr:uid="{53396796-70B9-4388-9AAA-8F28B86B9E49}"/>
    <cellStyle name="Comma 4 2 6 5 5" xfId="18948" xr:uid="{12890650-EAD6-441D-BBD1-1402980228A2}"/>
    <cellStyle name="Comma 4 2 6 6" xfId="2397" xr:uid="{00000000-0005-0000-0000-00000A090000}"/>
    <cellStyle name="Comma 4 2 6 6 2" xfId="6681" xr:uid="{00000000-0005-0000-0000-00000B090000}"/>
    <cellStyle name="Comma 4 2 6 6 2 2" xfId="15131" xr:uid="{A3964F73-4B97-46E4-AD7A-DDD9754F6B27}"/>
    <cellStyle name="Comma 4 2 6 6 2 3" xfId="23578" xr:uid="{5DF5A273-E83D-4E4A-B447-D5ABA34B4825}"/>
    <cellStyle name="Comma 4 2 6 6 3" xfId="10913" xr:uid="{C2BB7E7D-3870-4141-8675-BDF439648BC1}"/>
    <cellStyle name="Comma 4 2 6 6 4" xfId="19361" xr:uid="{70B51806-3145-455F-8DB1-D163B3C5B00A}"/>
    <cellStyle name="Comma 4 2 6 7" xfId="2366" xr:uid="{00000000-0005-0000-0000-00000C090000}"/>
    <cellStyle name="Comma 4 2 6 8" xfId="2775" xr:uid="{00000000-0005-0000-0000-00000D090000}"/>
    <cellStyle name="Comma 4 2 6 8 2" xfId="6998" xr:uid="{00000000-0005-0000-0000-00000E090000}"/>
    <cellStyle name="Comma 4 2 6 8 2 2" xfId="15448" xr:uid="{31ECB27E-777B-4F19-9CC7-0C1CC673130B}"/>
    <cellStyle name="Comma 4 2 6 8 2 3" xfId="23895" xr:uid="{7306659C-EEA9-449E-B4E6-340E55D9F5C2}"/>
    <cellStyle name="Comma 4 2 6 8 3" xfId="11230" xr:uid="{4C914C28-4D32-4120-90DF-87D648F93AB6}"/>
    <cellStyle name="Comma 4 2 6 8 4" xfId="19678" xr:uid="{44E0DB80-0770-4F44-8588-C25C03D2CFAD}"/>
    <cellStyle name="Comma 4 2 6 9" xfId="4615" xr:uid="{00000000-0005-0000-0000-00000F090000}"/>
    <cellStyle name="Comma 4 2 6 9 2" xfId="13065" xr:uid="{B797E474-92D8-466F-8E15-2654F6ACDE08}"/>
    <cellStyle name="Comma 4 2 6 9 3" xfId="21512" xr:uid="{8AE35AB0-A435-4F8C-A0F7-F59ACF7FCAAA}"/>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0 2 2" xfId="15449" xr:uid="{DE8EFD55-AACC-4B0F-80F4-A76C1785A481}"/>
    <cellStyle name="Comma 4 3 2 10 2 3" xfId="23896" xr:uid="{5B5C7A3C-6AA2-4CFD-9B35-6613145CFF9E}"/>
    <cellStyle name="Comma 4 3 2 10 3" xfId="11231" xr:uid="{988B9D23-8CED-4E81-8FC2-DE0E441C7206}"/>
    <cellStyle name="Comma 4 3 2 10 4" xfId="19679" xr:uid="{973F7370-4A75-4249-A993-7E50446BE4B0}"/>
    <cellStyle name="Comma 4 3 2 11" xfId="4616" xr:uid="{00000000-0005-0000-0000-000014090000}"/>
    <cellStyle name="Comma 4 3 2 11 2" xfId="13066" xr:uid="{50E121CD-3830-4E78-A62B-8F25542E0A86}"/>
    <cellStyle name="Comma 4 3 2 11 3" xfId="21513" xr:uid="{BD62A068-1614-417B-9252-068B76145510}"/>
    <cellStyle name="Comma 4 3 2 12" xfId="8848" xr:uid="{DC5B5876-31EC-48C2-B706-B9BC5AAACE73}"/>
    <cellStyle name="Comma 4 3 2 13" xfId="17296" xr:uid="{B6DA4EBF-726B-44A3-B46E-69B100DAB29F}"/>
    <cellStyle name="Comma 4 3 2 2" xfId="146" xr:uid="{00000000-0005-0000-0000-000015090000}"/>
    <cellStyle name="Comma 4 3 2 2 10" xfId="4617" xr:uid="{00000000-0005-0000-0000-000016090000}"/>
    <cellStyle name="Comma 4 3 2 2 10 2" xfId="13067" xr:uid="{FEAC432D-83F8-41BA-AF77-7D211E4BE58A}"/>
    <cellStyle name="Comma 4 3 2 2 10 3" xfId="21514" xr:uid="{19CA3D39-F075-4CF9-93E2-EB67AFBAED97}"/>
    <cellStyle name="Comma 4 3 2 2 11" xfId="8849" xr:uid="{AA480383-C0BC-48F7-B8E9-E1BC31A99966}"/>
    <cellStyle name="Comma 4 3 2 2 12" xfId="17297" xr:uid="{A705311A-20C8-4750-9091-73517AE127F9}"/>
    <cellStyle name="Comma 4 3 2 2 2" xfId="147" xr:uid="{00000000-0005-0000-0000-000017090000}"/>
    <cellStyle name="Comma 4 3 2 2 2 10" xfId="8850" xr:uid="{28F7D5C1-9D75-4FBC-995E-E9993FDF0CB6}"/>
    <cellStyle name="Comma 4 3 2 2 2 11" xfId="17298" xr:uid="{65193041-B31B-46A5-8735-21F933AA6328}"/>
    <cellStyle name="Comma 4 3 2 2 2 2" xfId="684" xr:uid="{00000000-0005-0000-0000-000018090000}"/>
    <cellStyle name="Comma 4 3 2 2 2 2 2" xfId="2955" xr:uid="{00000000-0005-0000-0000-000019090000}"/>
    <cellStyle name="Comma 4 3 2 2 2 2 2 2" xfId="7177" xr:uid="{00000000-0005-0000-0000-00001A090000}"/>
    <cellStyle name="Comma 4 3 2 2 2 2 2 2 2" xfId="15627" xr:uid="{42C4F3C3-FA45-43BD-A54E-3ABFED839C87}"/>
    <cellStyle name="Comma 4 3 2 2 2 2 2 2 3" xfId="24074" xr:uid="{4500405B-4366-419F-B7B1-994E1C47AE92}"/>
    <cellStyle name="Comma 4 3 2 2 2 2 2 3" xfId="11409" xr:uid="{A04B0A51-EDA8-41AA-8D7F-003FAD451540}"/>
    <cellStyle name="Comma 4 3 2 2 2 2 2 4" xfId="19857" xr:uid="{7D225838-C43A-4684-8033-60ED342A63B0}"/>
    <cellStyle name="Comma 4 3 2 2 2 2 3" xfId="5032" xr:uid="{00000000-0005-0000-0000-00001B090000}"/>
    <cellStyle name="Comma 4 3 2 2 2 2 3 2" xfId="13482" xr:uid="{42DF91B5-F850-4D7C-923D-C6167DA720B7}"/>
    <cellStyle name="Comma 4 3 2 2 2 2 3 3" xfId="21929" xr:uid="{567D4AB1-4E77-4503-A3CC-1E1499AB5E4D}"/>
    <cellStyle name="Comma 4 3 2 2 2 2 4" xfId="9264" xr:uid="{A18AA5B9-5923-4BAD-B8CA-058251B0D803}"/>
    <cellStyle name="Comma 4 3 2 2 2 2 5" xfId="17712" xr:uid="{E6BCBCCC-49A5-4AB5-ACD5-FC9813E885DA}"/>
    <cellStyle name="Comma 4 3 2 2 2 3" xfId="1137" xr:uid="{00000000-0005-0000-0000-00001C090000}"/>
    <cellStyle name="Comma 4 3 2 2 2 3 2" xfId="3368" xr:uid="{00000000-0005-0000-0000-00001D090000}"/>
    <cellStyle name="Comma 4 3 2 2 2 3 2 2" xfId="7590" xr:uid="{00000000-0005-0000-0000-00001E090000}"/>
    <cellStyle name="Comma 4 3 2 2 2 3 2 2 2" xfId="16040" xr:uid="{489A1A84-6EE6-460F-89B0-D35981917BB8}"/>
    <cellStyle name="Comma 4 3 2 2 2 3 2 2 3" xfId="24487" xr:uid="{B88FCFCC-80B8-4E09-9D8E-76EEDA001C27}"/>
    <cellStyle name="Comma 4 3 2 2 2 3 2 3" xfId="11822" xr:uid="{390C3345-204E-417E-97E3-7F74159EE8D6}"/>
    <cellStyle name="Comma 4 3 2 2 2 3 2 4" xfId="20270" xr:uid="{DA355E66-2389-47CB-81B7-8EF46808BBE7}"/>
    <cellStyle name="Comma 4 3 2 2 2 3 3" xfId="5445" xr:uid="{00000000-0005-0000-0000-00001F090000}"/>
    <cellStyle name="Comma 4 3 2 2 2 3 3 2" xfId="13895" xr:uid="{D0533B4E-C1C4-4CF1-B1B0-34622CA10473}"/>
    <cellStyle name="Comma 4 3 2 2 2 3 3 3" xfId="22342" xr:uid="{17B41201-35CB-415A-B3A9-EFABE18085DE}"/>
    <cellStyle name="Comma 4 3 2 2 2 3 4" xfId="9677" xr:uid="{32A0F29F-102C-44C8-B7E3-E2A54DC2599F}"/>
    <cellStyle name="Comma 4 3 2 2 2 3 5" xfId="18125" xr:uid="{76377D0A-14D6-43E2-9F27-A4D8BE5EB5B3}"/>
    <cellStyle name="Comma 4 3 2 2 2 4" xfId="1551" xr:uid="{00000000-0005-0000-0000-000020090000}"/>
    <cellStyle name="Comma 4 3 2 2 2 4 2" xfId="3781" xr:uid="{00000000-0005-0000-0000-000021090000}"/>
    <cellStyle name="Comma 4 3 2 2 2 4 2 2" xfId="8003" xr:uid="{00000000-0005-0000-0000-000022090000}"/>
    <cellStyle name="Comma 4 3 2 2 2 4 2 2 2" xfId="16453" xr:uid="{575337B2-47B2-4951-9CE9-9ADF486CD3CE}"/>
    <cellStyle name="Comma 4 3 2 2 2 4 2 2 3" xfId="24900" xr:uid="{D3E8B475-AA54-4E2D-8032-578F005960A2}"/>
    <cellStyle name="Comma 4 3 2 2 2 4 2 3" xfId="12235" xr:uid="{704556AE-D701-4F81-968B-2839F241289F}"/>
    <cellStyle name="Comma 4 3 2 2 2 4 2 4" xfId="20683" xr:uid="{317957B7-95A2-4B79-91B6-A7CB02C6B2B8}"/>
    <cellStyle name="Comma 4 3 2 2 2 4 3" xfId="5858" xr:uid="{00000000-0005-0000-0000-000023090000}"/>
    <cellStyle name="Comma 4 3 2 2 2 4 3 2" xfId="14308" xr:uid="{3CE1262E-312F-4358-83EC-A98249C8D064}"/>
    <cellStyle name="Comma 4 3 2 2 2 4 3 3" xfId="22755" xr:uid="{0CDF4028-18B2-4FBC-A7D6-EF0E6775A800}"/>
    <cellStyle name="Comma 4 3 2 2 2 4 4" xfId="10090" xr:uid="{3CBB907A-BA28-4DD0-83E9-492C4C361066}"/>
    <cellStyle name="Comma 4 3 2 2 2 4 5" xfId="18538" xr:uid="{70EE0E1D-9596-47E2-9C84-38B04F34798E}"/>
    <cellStyle name="Comma 4 3 2 2 2 5" xfId="1965" xr:uid="{00000000-0005-0000-0000-000024090000}"/>
    <cellStyle name="Comma 4 3 2 2 2 5 2" xfId="4194" xr:uid="{00000000-0005-0000-0000-000025090000}"/>
    <cellStyle name="Comma 4 3 2 2 2 5 2 2" xfId="8416" xr:uid="{00000000-0005-0000-0000-000026090000}"/>
    <cellStyle name="Comma 4 3 2 2 2 5 2 2 2" xfId="16866" xr:uid="{CEB9E0CE-5D24-4B83-BBDF-4237D772C2E1}"/>
    <cellStyle name="Comma 4 3 2 2 2 5 2 2 3" xfId="25313" xr:uid="{19034950-4703-47CC-A6B2-FF7D12912E53}"/>
    <cellStyle name="Comma 4 3 2 2 2 5 2 3" xfId="12648" xr:uid="{E5397EBF-46DE-4B59-A7FA-FCF9AE6EB195}"/>
    <cellStyle name="Comma 4 3 2 2 2 5 2 4" xfId="21096" xr:uid="{DA89C435-9BDF-4784-B1A4-79ED2896B37A}"/>
    <cellStyle name="Comma 4 3 2 2 2 5 3" xfId="6271" xr:uid="{00000000-0005-0000-0000-000027090000}"/>
    <cellStyle name="Comma 4 3 2 2 2 5 3 2" xfId="14721" xr:uid="{3C949F97-805D-4D9B-BD49-803D48311429}"/>
    <cellStyle name="Comma 4 3 2 2 2 5 3 3" xfId="23168" xr:uid="{6B3AA3DD-0AB5-42D5-B042-83F44011A5AF}"/>
    <cellStyle name="Comma 4 3 2 2 2 5 4" xfId="10503" xr:uid="{B5FB0B3C-B3A0-4950-8419-7E735E186C6A}"/>
    <cellStyle name="Comma 4 3 2 2 2 5 5" xfId="18951" xr:uid="{56AB3704-A654-4CF9-B6B1-FDCEC2F16162}"/>
    <cellStyle name="Comma 4 3 2 2 2 6" xfId="2400" xr:uid="{00000000-0005-0000-0000-000028090000}"/>
    <cellStyle name="Comma 4 3 2 2 2 6 2" xfId="6684" xr:uid="{00000000-0005-0000-0000-000029090000}"/>
    <cellStyle name="Comma 4 3 2 2 2 6 2 2" xfId="15134" xr:uid="{0BA91E92-DFCD-4DD7-8CA7-1EE0ED16B8CB}"/>
    <cellStyle name="Comma 4 3 2 2 2 6 2 3" xfId="23581" xr:uid="{A10CAF17-EB3F-45C9-97CD-5156F3D25408}"/>
    <cellStyle name="Comma 4 3 2 2 2 6 3" xfId="10916" xr:uid="{EE10AA91-50E6-4968-ACDC-B45D261F9A82}"/>
    <cellStyle name="Comma 4 3 2 2 2 6 4" xfId="19364" xr:uid="{83BD23FB-74A7-402C-81C7-286BB8E7E394}"/>
    <cellStyle name="Comma 4 3 2 2 2 7" xfId="2363" xr:uid="{00000000-0005-0000-0000-00002A090000}"/>
    <cellStyle name="Comma 4 3 2 2 2 8" xfId="2778" xr:uid="{00000000-0005-0000-0000-00002B090000}"/>
    <cellStyle name="Comma 4 3 2 2 2 8 2" xfId="7001" xr:uid="{00000000-0005-0000-0000-00002C090000}"/>
    <cellStyle name="Comma 4 3 2 2 2 8 2 2" xfId="15451" xr:uid="{361F8780-5D9D-41F7-AC26-B605B3000CFA}"/>
    <cellStyle name="Comma 4 3 2 2 2 8 2 3" xfId="23898" xr:uid="{7854114B-BB50-420E-A896-7B76A21FE4CB}"/>
    <cellStyle name="Comma 4 3 2 2 2 8 3" xfId="11233" xr:uid="{F16A6146-59E8-4977-9BE9-AAC3126FC172}"/>
    <cellStyle name="Comma 4 3 2 2 2 8 4" xfId="19681" xr:uid="{FA79B1C7-F3B7-4E8C-9EFD-138122DEA80F}"/>
    <cellStyle name="Comma 4 3 2 2 2 9" xfId="4618" xr:uid="{00000000-0005-0000-0000-00002D090000}"/>
    <cellStyle name="Comma 4 3 2 2 2 9 2" xfId="13068" xr:uid="{EC082F60-0765-4BAB-B54C-627E47083ACC}"/>
    <cellStyle name="Comma 4 3 2 2 2 9 3" xfId="21515" xr:uid="{0AF7B6B9-90D0-4262-984B-4DCF0B94CA51}"/>
    <cellStyle name="Comma 4 3 2 2 3" xfId="683" xr:uid="{00000000-0005-0000-0000-00002E090000}"/>
    <cellStyle name="Comma 4 3 2 2 3 2" xfId="2954" xr:uid="{00000000-0005-0000-0000-00002F090000}"/>
    <cellStyle name="Comma 4 3 2 2 3 2 2" xfId="7176" xr:uid="{00000000-0005-0000-0000-000030090000}"/>
    <cellStyle name="Comma 4 3 2 2 3 2 2 2" xfId="15626" xr:uid="{F4C8F525-29AE-4724-A739-8409CFF4DD8E}"/>
    <cellStyle name="Comma 4 3 2 2 3 2 2 3" xfId="24073" xr:uid="{2D09A61E-AD43-4EBC-A74A-05A6582FEC4A}"/>
    <cellStyle name="Comma 4 3 2 2 3 2 3" xfId="11408" xr:uid="{7EFB1B0C-2ED9-4311-921B-6E619941636A}"/>
    <cellStyle name="Comma 4 3 2 2 3 2 4" xfId="19856" xr:uid="{42A5485B-F749-44DB-852B-7A47F1115CA4}"/>
    <cellStyle name="Comma 4 3 2 2 3 3" xfId="5031" xr:uid="{00000000-0005-0000-0000-000031090000}"/>
    <cellStyle name="Comma 4 3 2 2 3 3 2" xfId="13481" xr:uid="{BC02675E-2CFA-49C6-BBC7-67113BC9C231}"/>
    <cellStyle name="Comma 4 3 2 2 3 3 3" xfId="21928" xr:uid="{04AA8F0C-B8F9-4009-9FFE-4D1B1FCF7B81}"/>
    <cellStyle name="Comma 4 3 2 2 3 4" xfId="9263" xr:uid="{AA7B15A3-83B8-4CC1-862E-5E899B83728A}"/>
    <cellStyle name="Comma 4 3 2 2 3 5" xfId="17711" xr:uid="{18DE5E12-EBAB-4581-B0FB-EE615C6D46F8}"/>
    <cellStyle name="Comma 4 3 2 2 4" xfId="1136" xr:uid="{00000000-0005-0000-0000-000032090000}"/>
    <cellStyle name="Comma 4 3 2 2 4 2" xfId="3367" xr:uid="{00000000-0005-0000-0000-000033090000}"/>
    <cellStyle name="Comma 4 3 2 2 4 2 2" xfId="7589" xr:uid="{00000000-0005-0000-0000-000034090000}"/>
    <cellStyle name="Comma 4 3 2 2 4 2 2 2" xfId="16039" xr:uid="{64B454E2-D5F2-420E-A140-E6DBE66D2608}"/>
    <cellStyle name="Comma 4 3 2 2 4 2 2 3" xfId="24486" xr:uid="{1A71F10D-1DEB-4894-8AD1-24AA55562C80}"/>
    <cellStyle name="Comma 4 3 2 2 4 2 3" xfId="11821" xr:uid="{0FF64BDF-88E5-45BE-8810-7C3EA5C00189}"/>
    <cellStyle name="Comma 4 3 2 2 4 2 4" xfId="20269" xr:uid="{D0B94ADF-E58F-47FC-A7A2-AB94FC996A23}"/>
    <cellStyle name="Comma 4 3 2 2 4 3" xfId="5444" xr:uid="{00000000-0005-0000-0000-000035090000}"/>
    <cellStyle name="Comma 4 3 2 2 4 3 2" xfId="13894" xr:uid="{371C14DA-5B69-4C68-A738-5CA0DC339607}"/>
    <cellStyle name="Comma 4 3 2 2 4 3 3" xfId="22341" xr:uid="{53F7E540-668E-464B-86E5-C08D458AF04A}"/>
    <cellStyle name="Comma 4 3 2 2 4 4" xfId="9676" xr:uid="{D9FD74E3-DE01-4D61-BA1E-D74E945187BB}"/>
    <cellStyle name="Comma 4 3 2 2 4 5" xfId="18124" xr:uid="{0447FB4D-C32B-40E0-A34F-F59460F0CBA2}"/>
    <cellStyle name="Comma 4 3 2 2 5" xfId="1550" xr:uid="{00000000-0005-0000-0000-000036090000}"/>
    <cellStyle name="Comma 4 3 2 2 5 2" xfId="3780" xr:uid="{00000000-0005-0000-0000-000037090000}"/>
    <cellStyle name="Comma 4 3 2 2 5 2 2" xfId="8002" xr:uid="{00000000-0005-0000-0000-000038090000}"/>
    <cellStyle name="Comma 4 3 2 2 5 2 2 2" xfId="16452" xr:uid="{09221490-F2B6-48D2-9FD2-431CFFF53820}"/>
    <cellStyle name="Comma 4 3 2 2 5 2 2 3" xfId="24899" xr:uid="{BB10654D-9EFC-463F-B4ED-F869DD450E3F}"/>
    <cellStyle name="Comma 4 3 2 2 5 2 3" xfId="12234" xr:uid="{1A7FE130-E7C5-4EBE-9675-BA0F2D25FA16}"/>
    <cellStyle name="Comma 4 3 2 2 5 2 4" xfId="20682" xr:uid="{7D5C5019-B8E5-4CE4-A623-3D2F87C0A7A0}"/>
    <cellStyle name="Comma 4 3 2 2 5 3" xfId="5857" xr:uid="{00000000-0005-0000-0000-000039090000}"/>
    <cellStyle name="Comma 4 3 2 2 5 3 2" xfId="14307" xr:uid="{76DC71B3-70D9-454B-95BE-69F87C2033CF}"/>
    <cellStyle name="Comma 4 3 2 2 5 3 3" xfId="22754" xr:uid="{1AE25249-F2FE-4E38-86DA-E7E6F621D045}"/>
    <cellStyle name="Comma 4 3 2 2 5 4" xfId="10089" xr:uid="{0B11792E-C00F-430F-92C9-3D2CF224A53C}"/>
    <cellStyle name="Comma 4 3 2 2 5 5" xfId="18537" xr:uid="{00AA1703-15AD-4222-8ED6-718AE5DAB631}"/>
    <cellStyle name="Comma 4 3 2 2 6" xfId="1964" xr:uid="{00000000-0005-0000-0000-00003A090000}"/>
    <cellStyle name="Comma 4 3 2 2 6 2" xfId="4193" xr:uid="{00000000-0005-0000-0000-00003B090000}"/>
    <cellStyle name="Comma 4 3 2 2 6 2 2" xfId="8415" xr:uid="{00000000-0005-0000-0000-00003C090000}"/>
    <cellStyle name="Comma 4 3 2 2 6 2 2 2" xfId="16865" xr:uid="{2EC22FE9-E074-4CCE-BAD3-39E28C92C2F5}"/>
    <cellStyle name="Comma 4 3 2 2 6 2 2 3" xfId="25312" xr:uid="{94C89C48-5146-4D88-9A3C-14571D987997}"/>
    <cellStyle name="Comma 4 3 2 2 6 2 3" xfId="12647" xr:uid="{DDA08E32-0AF9-43E6-92B6-E422718B211C}"/>
    <cellStyle name="Comma 4 3 2 2 6 2 4" xfId="21095" xr:uid="{05A6D8E2-599C-4ED0-83DF-CBA228839FA9}"/>
    <cellStyle name="Comma 4 3 2 2 6 3" xfId="6270" xr:uid="{00000000-0005-0000-0000-00003D090000}"/>
    <cellStyle name="Comma 4 3 2 2 6 3 2" xfId="14720" xr:uid="{68820DDC-621E-46D6-A4F7-48DC6B398B98}"/>
    <cellStyle name="Comma 4 3 2 2 6 3 3" xfId="23167" xr:uid="{4A4624AB-37AB-4A76-BB52-4F7AF982F9E4}"/>
    <cellStyle name="Comma 4 3 2 2 6 4" xfId="10502" xr:uid="{05293272-8A8A-4DDA-A205-D127BB182051}"/>
    <cellStyle name="Comma 4 3 2 2 6 5" xfId="18950" xr:uid="{8634CE36-B1DE-485C-9515-3715F5726762}"/>
    <cellStyle name="Comma 4 3 2 2 7" xfId="2399" xr:uid="{00000000-0005-0000-0000-00003E090000}"/>
    <cellStyle name="Comma 4 3 2 2 7 2" xfId="6683" xr:uid="{00000000-0005-0000-0000-00003F090000}"/>
    <cellStyle name="Comma 4 3 2 2 7 2 2" xfId="15133" xr:uid="{87A79C98-C39E-47E7-BA5A-5ECD3FFB9C3E}"/>
    <cellStyle name="Comma 4 3 2 2 7 2 3" xfId="23580" xr:uid="{A2BC71FB-FB8C-4D1F-803D-3A6036FB7A8E}"/>
    <cellStyle name="Comma 4 3 2 2 7 3" xfId="10915" xr:uid="{56B0FD5A-1AD8-40F3-819D-5C15EBAFA100}"/>
    <cellStyle name="Comma 4 3 2 2 7 4" xfId="19363" xr:uid="{3B1AB53E-D820-4F16-8E56-5E3AC65C4F56}"/>
    <cellStyle name="Comma 4 3 2 2 8" xfId="2364" xr:uid="{00000000-0005-0000-0000-000040090000}"/>
    <cellStyle name="Comma 4 3 2 2 9" xfId="2777" xr:uid="{00000000-0005-0000-0000-000041090000}"/>
    <cellStyle name="Comma 4 3 2 2 9 2" xfId="7000" xr:uid="{00000000-0005-0000-0000-000042090000}"/>
    <cellStyle name="Comma 4 3 2 2 9 2 2" xfId="15450" xr:uid="{3C5CE01C-9587-41CF-AEA9-C523C141154C}"/>
    <cellStyle name="Comma 4 3 2 2 9 2 3" xfId="23897" xr:uid="{F5568772-364A-4E54-A9B9-058D4D807332}"/>
    <cellStyle name="Comma 4 3 2 2 9 3" xfId="11232" xr:uid="{3770D8F7-882A-4F1A-8C36-AF81A573EF16}"/>
    <cellStyle name="Comma 4 3 2 2 9 4" xfId="19680" xr:uid="{D5489F12-8A05-413F-8DE6-D26F25C436F1}"/>
    <cellStyle name="Comma 4 3 2 3" xfId="148" xr:uid="{00000000-0005-0000-0000-000043090000}"/>
    <cellStyle name="Comma 4 3 2 3 10" xfId="8851" xr:uid="{DBC095AA-2767-4D74-89EE-C5D33F1BA94D}"/>
    <cellStyle name="Comma 4 3 2 3 11" xfId="17299" xr:uid="{709E3A10-27C6-4C62-BB58-7C8ADA44373F}"/>
    <cellStyle name="Comma 4 3 2 3 2" xfId="685" xr:uid="{00000000-0005-0000-0000-000044090000}"/>
    <cellStyle name="Comma 4 3 2 3 2 2" xfId="2956" xr:uid="{00000000-0005-0000-0000-000045090000}"/>
    <cellStyle name="Comma 4 3 2 3 2 2 2" xfId="7178" xr:uid="{00000000-0005-0000-0000-000046090000}"/>
    <cellStyle name="Comma 4 3 2 3 2 2 2 2" xfId="15628" xr:uid="{9A6F46FE-4482-4854-8E49-6DC78611D9EB}"/>
    <cellStyle name="Comma 4 3 2 3 2 2 2 3" xfId="24075" xr:uid="{7D237F7A-E99A-4800-8097-C801383F5FEB}"/>
    <cellStyle name="Comma 4 3 2 3 2 2 3" xfId="11410" xr:uid="{989A4315-D745-494F-B211-54751CD3AB1C}"/>
    <cellStyle name="Comma 4 3 2 3 2 2 4" xfId="19858" xr:uid="{5609A88D-8D3E-4B02-8C5B-1DA603D3E13E}"/>
    <cellStyle name="Comma 4 3 2 3 2 3" xfId="5033" xr:uid="{00000000-0005-0000-0000-000047090000}"/>
    <cellStyle name="Comma 4 3 2 3 2 3 2" xfId="13483" xr:uid="{B9938002-5E09-4CDC-B4F6-0ED7FBA69DAF}"/>
    <cellStyle name="Comma 4 3 2 3 2 3 3" xfId="21930" xr:uid="{45B2D44E-618D-45A8-B577-06102993A4F4}"/>
    <cellStyle name="Comma 4 3 2 3 2 4" xfId="9265" xr:uid="{96E778DE-428F-4DCA-B4E4-449FDBDB58D4}"/>
    <cellStyle name="Comma 4 3 2 3 2 5" xfId="17713" xr:uid="{AA03C5B0-ACB3-47AE-B3A8-884A153F8209}"/>
    <cellStyle name="Comma 4 3 2 3 3" xfId="1138" xr:uid="{00000000-0005-0000-0000-000048090000}"/>
    <cellStyle name="Comma 4 3 2 3 3 2" xfId="3369" xr:uid="{00000000-0005-0000-0000-000049090000}"/>
    <cellStyle name="Comma 4 3 2 3 3 2 2" xfId="7591" xr:uid="{00000000-0005-0000-0000-00004A090000}"/>
    <cellStyle name="Comma 4 3 2 3 3 2 2 2" xfId="16041" xr:uid="{FAB33689-F344-4937-8684-90959E9FA74D}"/>
    <cellStyle name="Comma 4 3 2 3 3 2 2 3" xfId="24488" xr:uid="{0E66C9D9-0B8E-48CA-8470-11F3091A8519}"/>
    <cellStyle name="Comma 4 3 2 3 3 2 3" xfId="11823" xr:uid="{E902CCFB-200C-4666-AFC2-939D957A9F92}"/>
    <cellStyle name="Comma 4 3 2 3 3 2 4" xfId="20271" xr:uid="{CAC96C86-C5FE-47BE-827D-87573E9EE313}"/>
    <cellStyle name="Comma 4 3 2 3 3 3" xfId="5446" xr:uid="{00000000-0005-0000-0000-00004B090000}"/>
    <cellStyle name="Comma 4 3 2 3 3 3 2" xfId="13896" xr:uid="{E6FFCE47-177E-4E2A-ABB8-9BCA875898E4}"/>
    <cellStyle name="Comma 4 3 2 3 3 3 3" xfId="22343" xr:uid="{24C41656-7C7D-4A0C-A2E7-816C6F1C2775}"/>
    <cellStyle name="Comma 4 3 2 3 3 4" xfId="9678" xr:uid="{F8F1A0D2-6828-440D-90DF-C65A9FAF9484}"/>
    <cellStyle name="Comma 4 3 2 3 3 5" xfId="18126" xr:uid="{AD0DE0EA-8104-470C-9BE6-06A59660AE41}"/>
    <cellStyle name="Comma 4 3 2 3 4" xfId="1552" xr:uid="{00000000-0005-0000-0000-00004C090000}"/>
    <cellStyle name="Comma 4 3 2 3 4 2" xfId="3782" xr:uid="{00000000-0005-0000-0000-00004D090000}"/>
    <cellStyle name="Comma 4 3 2 3 4 2 2" xfId="8004" xr:uid="{00000000-0005-0000-0000-00004E090000}"/>
    <cellStyle name="Comma 4 3 2 3 4 2 2 2" xfId="16454" xr:uid="{62064241-C970-4FAE-AE25-A40C6F2F231A}"/>
    <cellStyle name="Comma 4 3 2 3 4 2 2 3" xfId="24901" xr:uid="{5BF4787A-DF3B-4814-B780-DBD66AE2A09C}"/>
    <cellStyle name="Comma 4 3 2 3 4 2 3" xfId="12236" xr:uid="{C3C76E8D-9FCE-473E-BC28-B1878CA8CD5C}"/>
    <cellStyle name="Comma 4 3 2 3 4 2 4" xfId="20684" xr:uid="{EB9F7F43-D0DF-45A8-B1C9-1E1FAB5DBF43}"/>
    <cellStyle name="Comma 4 3 2 3 4 3" xfId="5859" xr:uid="{00000000-0005-0000-0000-00004F090000}"/>
    <cellStyle name="Comma 4 3 2 3 4 3 2" xfId="14309" xr:uid="{1878670B-9D4D-4905-B7F7-10515D5C1827}"/>
    <cellStyle name="Comma 4 3 2 3 4 3 3" xfId="22756" xr:uid="{AF5DEB81-B839-47F7-B14D-95467185197E}"/>
    <cellStyle name="Comma 4 3 2 3 4 4" xfId="10091" xr:uid="{0B68185E-D9CA-4BBC-8F3A-B798AA4E882C}"/>
    <cellStyle name="Comma 4 3 2 3 4 5" xfId="18539" xr:uid="{BA02C4D3-5417-481F-A38A-14F5806163FF}"/>
    <cellStyle name="Comma 4 3 2 3 5" xfId="1966" xr:uid="{00000000-0005-0000-0000-000050090000}"/>
    <cellStyle name="Comma 4 3 2 3 5 2" xfId="4195" xr:uid="{00000000-0005-0000-0000-000051090000}"/>
    <cellStyle name="Comma 4 3 2 3 5 2 2" xfId="8417" xr:uid="{00000000-0005-0000-0000-000052090000}"/>
    <cellStyle name="Comma 4 3 2 3 5 2 2 2" xfId="16867" xr:uid="{9237EBFB-4BD3-48E1-BDA5-97A59F52AAED}"/>
    <cellStyle name="Comma 4 3 2 3 5 2 2 3" xfId="25314" xr:uid="{7A52E0BC-EAE5-40F3-AE5B-A72BF743EEAC}"/>
    <cellStyle name="Comma 4 3 2 3 5 2 3" xfId="12649" xr:uid="{5BD3457A-5BA9-43DE-9FB0-CB03335FD2D1}"/>
    <cellStyle name="Comma 4 3 2 3 5 2 4" xfId="21097" xr:uid="{9E9F680F-AF35-478D-B383-040414153E0D}"/>
    <cellStyle name="Comma 4 3 2 3 5 3" xfId="6272" xr:uid="{00000000-0005-0000-0000-000053090000}"/>
    <cellStyle name="Comma 4 3 2 3 5 3 2" xfId="14722" xr:uid="{75424016-9039-4A44-BA09-3A81C0828D58}"/>
    <cellStyle name="Comma 4 3 2 3 5 3 3" xfId="23169" xr:uid="{97C6E623-0FA9-4352-9621-B232A627FB1B}"/>
    <cellStyle name="Comma 4 3 2 3 5 4" xfId="10504" xr:uid="{EB2A04D8-9C09-4985-94E3-666B4B491627}"/>
    <cellStyle name="Comma 4 3 2 3 5 5" xfId="18952" xr:uid="{6C0121AD-20AF-4517-89A0-AE8CF31771DA}"/>
    <cellStyle name="Comma 4 3 2 3 6" xfId="2401" xr:uid="{00000000-0005-0000-0000-000054090000}"/>
    <cellStyle name="Comma 4 3 2 3 6 2" xfId="6685" xr:uid="{00000000-0005-0000-0000-000055090000}"/>
    <cellStyle name="Comma 4 3 2 3 6 2 2" xfId="15135" xr:uid="{48AA0434-6863-4AC1-8FE0-6290414FE62D}"/>
    <cellStyle name="Comma 4 3 2 3 6 2 3" xfId="23582" xr:uid="{B005F1B4-618C-4224-A293-B60D0E0F8F80}"/>
    <cellStyle name="Comma 4 3 2 3 6 3" xfId="10917" xr:uid="{14BACCFD-FB21-4F6F-9DCA-FD4D6BD21F2E}"/>
    <cellStyle name="Comma 4 3 2 3 6 4" xfId="19365" xr:uid="{A333027F-0816-4669-9A05-3479E7FA7699}"/>
    <cellStyle name="Comma 4 3 2 3 7" xfId="2362" xr:uid="{00000000-0005-0000-0000-000056090000}"/>
    <cellStyle name="Comma 4 3 2 3 8" xfId="2779" xr:uid="{00000000-0005-0000-0000-000057090000}"/>
    <cellStyle name="Comma 4 3 2 3 8 2" xfId="7002" xr:uid="{00000000-0005-0000-0000-000058090000}"/>
    <cellStyle name="Comma 4 3 2 3 8 2 2" xfId="15452" xr:uid="{33E5D35C-BC4C-4CCC-8941-C21C3AD4C6B5}"/>
    <cellStyle name="Comma 4 3 2 3 8 2 3" xfId="23899" xr:uid="{E6267B39-43AA-4042-B5F2-E768BB51D497}"/>
    <cellStyle name="Comma 4 3 2 3 8 3" xfId="11234" xr:uid="{46608B3E-E5A0-4D71-AB74-50D4202E73E0}"/>
    <cellStyle name="Comma 4 3 2 3 8 4" xfId="19682" xr:uid="{ADE10EFA-B79A-4681-A955-3F5B90CA912C}"/>
    <cellStyle name="Comma 4 3 2 3 9" xfId="4619" xr:uid="{00000000-0005-0000-0000-000059090000}"/>
    <cellStyle name="Comma 4 3 2 3 9 2" xfId="13069" xr:uid="{78EED480-55BF-43BB-A653-06A117C86F8D}"/>
    <cellStyle name="Comma 4 3 2 3 9 3" xfId="21516" xr:uid="{E9C17760-E1CB-4A88-8530-32FDCFCF662F}"/>
    <cellStyle name="Comma 4 3 2 4" xfId="682" xr:uid="{00000000-0005-0000-0000-00005A090000}"/>
    <cellStyle name="Comma 4 3 2 4 2" xfId="2953" xr:uid="{00000000-0005-0000-0000-00005B090000}"/>
    <cellStyle name="Comma 4 3 2 4 2 2" xfId="7175" xr:uid="{00000000-0005-0000-0000-00005C090000}"/>
    <cellStyle name="Comma 4 3 2 4 2 2 2" xfId="15625" xr:uid="{5A4F7817-5974-44BB-8144-0C2B1B685AE8}"/>
    <cellStyle name="Comma 4 3 2 4 2 2 3" xfId="24072" xr:uid="{041D263D-B42C-4C4C-B344-892D44877D7E}"/>
    <cellStyle name="Comma 4 3 2 4 2 3" xfId="11407" xr:uid="{1E4951F9-F835-4E49-91A7-CD531BC1D644}"/>
    <cellStyle name="Comma 4 3 2 4 2 4" xfId="19855" xr:uid="{0D4E555C-9A4C-4075-AD04-4A79CA916356}"/>
    <cellStyle name="Comma 4 3 2 4 3" xfId="5030" xr:uid="{00000000-0005-0000-0000-00005D090000}"/>
    <cellStyle name="Comma 4 3 2 4 3 2" xfId="13480" xr:uid="{FF1751EF-AE6D-4B8B-BD57-840136F8D5B9}"/>
    <cellStyle name="Comma 4 3 2 4 3 3" xfId="21927" xr:uid="{3AA493C1-0FFB-48FC-A49F-FFCFE6C26A6C}"/>
    <cellStyle name="Comma 4 3 2 4 4" xfId="9262" xr:uid="{220EA79F-FA3F-445A-88E9-ECA8090839F4}"/>
    <cellStyle name="Comma 4 3 2 4 5" xfId="17710" xr:uid="{27CBDC70-56F3-49C4-A123-5AF98C0DD91C}"/>
    <cellStyle name="Comma 4 3 2 5" xfId="1135" xr:uid="{00000000-0005-0000-0000-00005E090000}"/>
    <cellStyle name="Comma 4 3 2 5 2" xfId="3366" xr:uid="{00000000-0005-0000-0000-00005F090000}"/>
    <cellStyle name="Comma 4 3 2 5 2 2" xfId="7588" xr:uid="{00000000-0005-0000-0000-000060090000}"/>
    <cellStyle name="Comma 4 3 2 5 2 2 2" xfId="16038" xr:uid="{32D150AA-2C10-41F6-A822-276A4280254F}"/>
    <cellStyle name="Comma 4 3 2 5 2 2 3" xfId="24485" xr:uid="{35A950A1-F3CE-4B90-86A7-BA25C26DF258}"/>
    <cellStyle name="Comma 4 3 2 5 2 3" xfId="11820" xr:uid="{46C74711-2176-4F91-848B-5F3E879D19FF}"/>
    <cellStyle name="Comma 4 3 2 5 2 4" xfId="20268" xr:uid="{8879F141-D6C3-4B24-A402-87238F2FE7B8}"/>
    <cellStyle name="Comma 4 3 2 5 3" xfId="5443" xr:uid="{00000000-0005-0000-0000-000061090000}"/>
    <cellStyle name="Comma 4 3 2 5 3 2" xfId="13893" xr:uid="{89E01F40-F3AB-4946-AF26-2536E29FA7F5}"/>
    <cellStyle name="Comma 4 3 2 5 3 3" xfId="22340" xr:uid="{A46C79F0-6D76-4002-9505-506B63939CC4}"/>
    <cellStyle name="Comma 4 3 2 5 4" xfId="9675" xr:uid="{8B52594F-936D-4A12-A2EA-549EC2EF1F5D}"/>
    <cellStyle name="Comma 4 3 2 5 5" xfId="18123" xr:uid="{217300F1-BEDF-467D-A60E-13FB191269B9}"/>
    <cellStyle name="Comma 4 3 2 6" xfId="1549" xr:uid="{00000000-0005-0000-0000-000062090000}"/>
    <cellStyle name="Comma 4 3 2 6 2" xfId="3779" xr:uid="{00000000-0005-0000-0000-000063090000}"/>
    <cellStyle name="Comma 4 3 2 6 2 2" xfId="8001" xr:uid="{00000000-0005-0000-0000-000064090000}"/>
    <cellStyle name="Comma 4 3 2 6 2 2 2" xfId="16451" xr:uid="{EF6CCE01-AC1B-4BA6-8446-5B48AA4DBE62}"/>
    <cellStyle name="Comma 4 3 2 6 2 2 3" xfId="24898" xr:uid="{1CA1C42B-741F-4E0D-A2EC-5A4150D0F214}"/>
    <cellStyle name="Comma 4 3 2 6 2 3" xfId="12233" xr:uid="{81EAE45F-AAE4-4F9F-A18D-FA0E29B68F3A}"/>
    <cellStyle name="Comma 4 3 2 6 2 4" xfId="20681" xr:uid="{2F477C8B-54E9-4B67-BB94-819EC1EB4105}"/>
    <cellStyle name="Comma 4 3 2 6 3" xfId="5856" xr:uid="{00000000-0005-0000-0000-000065090000}"/>
    <cellStyle name="Comma 4 3 2 6 3 2" xfId="14306" xr:uid="{7F57FEB3-EAC0-426F-A496-0B2F0C72B716}"/>
    <cellStyle name="Comma 4 3 2 6 3 3" xfId="22753" xr:uid="{0CFCB0D1-509A-42A9-8826-84504913F0C2}"/>
    <cellStyle name="Comma 4 3 2 6 4" xfId="10088" xr:uid="{0C23569D-20BA-48D4-8F9F-FFE1744DCCE2}"/>
    <cellStyle name="Comma 4 3 2 6 5" xfId="18536" xr:uid="{7B4D3C28-4BAA-4862-A0D0-E87256919C83}"/>
    <cellStyle name="Comma 4 3 2 7" xfId="1963" xr:uid="{00000000-0005-0000-0000-000066090000}"/>
    <cellStyle name="Comma 4 3 2 7 2" xfId="4192" xr:uid="{00000000-0005-0000-0000-000067090000}"/>
    <cellStyle name="Comma 4 3 2 7 2 2" xfId="8414" xr:uid="{00000000-0005-0000-0000-000068090000}"/>
    <cellStyle name="Comma 4 3 2 7 2 2 2" xfId="16864" xr:uid="{A8258458-D09E-4A61-8546-C468EA77F812}"/>
    <cellStyle name="Comma 4 3 2 7 2 2 3" xfId="25311" xr:uid="{1D88025E-9E56-47B2-9B5E-7975243B4FFB}"/>
    <cellStyle name="Comma 4 3 2 7 2 3" xfId="12646" xr:uid="{8DDB701A-DAD5-49DD-BAB6-D73FF31940A4}"/>
    <cellStyle name="Comma 4 3 2 7 2 4" xfId="21094" xr:uid="{BC33E2C0-64E2-4F62-BE22-767063522C82}"/>
    <cellStyle name="Comma 4 3 2 7 3" xfId="6269" xr:uid="{00000000-0005-0000-0000-000069090000}"/>
    <cellStyle name="Comma 4 3 2 7 3 2" xfId="14719" xr:uid="{499921D7-D74D-4178-869A-8E6B7593D64C}"/>
    <cellStyle name="Comma 4 3 2 7 3 3" xfId="23166" xr:uid="{6450022A-5E6F-4CDF-9DEA-E8DD829CE83A}"/>
    <cellStyle name="Comma 4 3 2 7 4" xfId="10501" xr:uid="{EA36B38B-8D54-40C5-8A44-2F5ED7D5BD81}"/>
    <cellStyle name="Comma 4 3 2 7 5" xfId="18949" xr:uid="{9D86E090-8787-436C-A0C9-EFEA16483038}"/>
    <cellStyle name="Comma 4 3 2 8" xfId="2398" xr:uid="{00000000-0005-0000-0000-00006A090000}"/>
    <cellStyle name="Comma 4 3 2 8 2" xfId="6682" xr:uid="{00000000-0005-0000-0000-00006B090000}"/>
    <cellStyle name="Comma 4 3 2 8 2 2" xfId="15132" xr:uid="{84B97EE9-FEB5-4427-BE52-C10BC830B5AB}"/>
    <cellStyle name="Comma 4 3 2 8 2 3" xfId="23579" xr:uid="{DC87349D-B53C-4A27-A5B3-3C1238A41406}"/>
    <cellStyle name="Comma 4 3 2 8 3" xfId="10914" xr:uid="{A2FDEA95-5A40-4FD1-8B64-89972F746300}"/>
    <cellStyle name="Comma 4 3 2 8 4" xfId="19362" xr:uid="{BCC3072C-A841-4302-B2C3-DD577782BB41}"/>
    <cellStyle name="Comma 4 3 2 9" xfId="2365" xr:uid="{00000000-0005-0000-0000-00006C090000}"/>
    <cellStyle name="Comma 4 3 3" xfId="149" xr:uid="{00000000-0005-0000-0000-00006D090000}"/>
    <cellStyle name="Comma 4 3 3 10" xfId="4620" xr:uid="{00000000-0005-0000-0000-00006E090000}"/>
    <cellStyle name="Comma 4 3 3 10 2" xfId="13070" xr:uid="{17D59A9B-6C93-489C-958C-AFB1BE9ACA27}"/>
    <cellStyle name="Comma 4 3 3 10 3" xfId="21517" xr:uid="{88232299-E1CF-475A-8064-79E860FC255D}"/>
    <cellStyle name="Comma 4 3 3 11" xfId="8852" xr:uid="{17A2D130-D3CF-4A48-9462-7B4C1EC89DD0}"/>
    <cellStyle name="Comma 4 3 3 12" xfId="17300" xr:uid="{7054B3A1-9452-443C-B139-EC3DFA3F9BD1}"/>
    <cellStyle name="Comma 4 3 3 2" xfId="150" xr:uid="{00000000-0005-0000-0000-00006F090000}"/>
    <cellStyle name="Comma 4 3 3 2 10" xfId="8853" xr:uid="{46415169-5B55-4DDB-A1DC-253F461ABC25}"/>
    <cellStyle name="Comma 4 3 3 2 11" xfId="17301" xr:uid="{A5459165-A4D4-4ED7-93E1-B550A1B76BBD}"/>
    <cellStyle name="Comma 4 3 3 2 2" xfId="687" xr:uid="{00000000-0005-0000-0000-000070090000}"/>
    <cellStyle name="Comma 4 3 3 2 2 2" xfId="2958" xr:uid="{00000000-0005-0000-0000-000071090000}"/>
    <cellStyle name="Comma 4 3 3 2 2 2 2" xfId="7180" xr:uid="{00000000-0005-0000-0000-000072090000}"/>
    <cellStyle name="Comma 4 3 3 2 2 2 2 2" xfId="15630" xr:uid="{F0000296-DC6F-4DC4-AD50-E9D43F3EB6F4}"/>
    <cellStyle name="Comma 4 3 3 2 2 2 2 3" xfId="24077" xr:uid="{E0FBBAAD-BA00-4327-A7F2-4E61F6D8E89F}"/>
    <cellStyle name="Comma 4 3 3 2 2 2 3" xfId="11412" xr:uid="{C7E7CAAF-0482-429D-8799-1772119B9407}"/>
    <cellStyle name="Comma 4 3 3 2 2 2 4" xfId="19860" xr:uid="{CBA03A9B-9C3D-46BE-9665-05911C9A8D94}"/>
    <cellStyle name="Comma 4 3 3 2 2 3" xfId="5035" xr:uid="{00000000-0005-0000-0000-000073090000}"/>
    <cellStyle name="Comma 4 3 3 2 2 3 2" xfId="13485" xr:uid="{2F9E87F0-64A2-43AE-899F-1BC17A2E371E}"/>
    <cellStyle name="Comma 4 3 3 2 2 3 3" xfId="21932" xr:uid="{6B3F1477-FD52-4459-9404-A13EEF813EF9}"/>
    <cellStyle name="Comma 4 3 3 2 2 4" xfId="9267" xr:uid="{57E56E46-296B-46D6-B592-416C8AF21EBB}"/>
    <cellStyle name="Comma 4 3 3 2 2 5" xfId="17715" xr:uid="{FF8DF07D-12A4-40A2-84EB-45F8CBC61F4A}"/>
    <cellStyle name="Comma 4 3 3 2 3" xfId="1140" xr:uid="{00000000-0005-0000-0000-000074090000}"/>
    <cellStyle name="Comma 4 3 3 2 3 2" xfId="3371" xr:uid="{00000000-0005-0000-0000-000075090000}"/>
    <cellStyle name="Comma 4 3 3 2 3 2 2" xfId="7593" xr:uid="{00000000-0005-0000-0000-000076090000}"/>
    <cellStyle name="Comma 4 3 3 2 3 2 2 2" xfId="16043" xr:uid="{7DD672A2-6823-4D7E-AA8D-DDE1BBD542C9}"/>
    <cellStyle name="Comma 4 3 3 2 3 2 2 3" xfId="24490" xr:uid="{0D55390C-2BB8-42D8-85B8-D4088DE0574A}"/>
    <cellStyle name="Comma 4 3 3 2 3 2 3" xfId="11825" xr:uid="{92FF9CDA-1359-40C5-81FC-6055170FD181}"/>
    <cellStyle name="Comma 4 3 3 2 3 2 4" xfId="20273" xr:uid="{BE14BD5B-3451-48C5-9872-0C6C6E4B8835}"/>
    <cellStyle name="Comma 4 3 3 2 3 3" xfId="5448" xr:uid="{00000000-0005-0000-0000-000077090000}"/>
    <cellStyle name="Comma 4 3 3 2 3 3 2" xfId="13898" xr:uid="{B82BDB46-4266-4302-A2AD-9D14AB68DA54}"/>
    <cellStyle name="Comma 4 3 3 2 3 3 3" xfId="22345" xr:uid="{8F285A3E-8A3D-43D6-A943-652DAB06C2FE}"/>
    <cellStyle name="Comma 4 3 3 2 3 4" xfId="9680" xr:uid="{17FED96F-DD95-402A-B2EC-EB47298544E5}"/>
    <cellStyle name="Comma 4 3 3 2 3 5" xfId="18128" xr:uid="{CED4403A-B00E-427A-A78B-8A5E66117354}"/>
    <cellStyle name="Comma 4 3 3 2 4" xfId="1554" xr:uid="{00000000-0005-0000-0000-000078090000}"/>
    <cellStyle name="Comma 4 3 3 2 4 2" xfId="3784" xr:uid="{00000000-0005-0000-0000-000079090000}"/>
    <cellStyle name="Comma 4 3 3 2 4 2 2" xfId="8006" xr:uid="{00000000-0005-0000-0000-00007A090000}"/>
    <cellStyle name="Comma 4 3 3 2 4 2 2 2" xfId="16456" xr:uid="{210235D3-4B6E-49CD-BD37-6FF7B7E304DC}"/>
    <cellStyle name="Comma 4 3 3 2 4 2 2 3" xfId="24903" xr:uid="{5EFF41F2-F387-422E-BE32-679DB8060925}"/>
    <cellStyle name="Comma 4 3 3 2 4 2 3" xfId="12238" xr:uid="{C5DE6543-3DB3-4A33-97B7-4A4FA6A0EFA1}"/>
    <cellStyle name="Comma 4 3 3 2 4 2 4" xfId="20686" xr:uid="{C25C5B5B-3A03-4741-8BF8-E07C66EF5413}"/>
    <cellStyle name="Comma 4 3 3 2 4 3" xfId="5861" xr:uid="{00000000-0005-0000-0000-00007B090000}"/>
    <cellStyle name="Comma 4 3 3 2 4 3 2" xfId="14311" xr:uid="{7E12D20A-5FFB-425E-9D8B-63991F5800E7}"/>
    <cellStyle name="Comma 4 3 3 2 4 3 3" xfId="22758" xr:uid="{C9BCFA06-2132-40EB-B4D5-F395327A5220}"/>
    <cellStyle name="Comma 4 3 3 2 4 4" xfId="10093" xr:uid="{9BC3D7AE-CD0F-4444-9E66-6AB5C4BB9D80}"/>
    <cellStyle name="Comma 4 3 3 2 4 5" xfId="18541" xr:uid="{76A6796C-B91F-4092-920F-BEFB64A4D19B}"/>
    <cellStyle name="Comma 4 3 3 2 5" xfId="1968" xr:uid="{00000000-0005-0000-0000-00007C090000}"/>
    <cellStyle name="Comma 4 3 3 2 5 2" xfId="4197" xr:uid="{00000000-0005-0000-0000-00007D090000}"/>
    <cellStyle name="Comma 4 3 3 2 5 2 2" xfId="8419" xr:uid="{00000000-0005-0000-0000-00007E090000}"/>
    <cellStyle name="Comma 4 3 3 2 5 2 2 2" xfId="16869" xr:uid="{7202B65C-D965-44DA-9C61-35D4D4EA56C0}"/>
    <cellStyle name="Comma 4 3 3 2 5 2 2 3" xfId="25316" xr:uid="{E4BB0C6B-F1B3-4BD6-97C4-4CE491626A62}"/>
    <cellStyle name="Comma 4 3 3 2 5 2 3" xfId="12651" xr:uid="{3DA11AD1-EEDC-4A38-9B79-41CD38848790}"/>
    <cellStyle name="Comma 4 3 3 2 5 2 4" xfId="21099" xr:uid="{0FD73434-3DFF-469D-ABA8-17F41C2263CC}"/>
    <cellStyle name="Comma 4 3 3 2 5 3" xfId="6274" xr:uid="{00000000-0005-0000-0000-00007F090000}"/>
    <cellStyle name="Comma 4 3 3 2 5 3 2" xfId="14724" xr:uid="{AAD92D65-1951-49A2-B3E7-C61E4CF017ED}"/>
    <cellStyle name="Comma 4 3 3 2 5 3 3" xfId="23171" xr:uid="{1085241C-B483-4B64-98E5-9E2F97BFC3AA}"/>
    <cellStyle name="Comma 4 3 3 2 5 4" xfId="10506" xr:uid="{FB2EA653-6AF6-4827-B640-CC406DF8D3B3}"/>
    <cellStyle name="Comma 4 3 3 2 5 5" xfId="18954" xr:uid="{EC708158-1E41-4D38-BA87-572C03DD87CD}"/>
    <cellStyle name="Comma 4 3 3 2 6" xfId="2403" xr:uid="{00000000-0005-0000-0000-000080090000}"/>
    <cellStyle name="Comma 4 3 3 2 6 2" xfId="6687" xr:uid="{00000000-0005-0000-0000-000081090000}"/>
    <cellStyle name="Comma 4 3 3 2 6 2 2" xfId="15137" xr:uid="{1DCB3811-BBE2-4679-ABD7-8F2E61CC94EA}"/>
    <cellStyle name="Comma 4 3 3 2 6 2 3" xfId="23584" xr:uid="{113A3A53-1BBB-4E87-B821-C32C073F13A5}"/>
    <cellStyle name="Comma 4 3 3 2 6 3" xfId="10919" xr:uid="{CCAE7F79-4576-40CC-9305-66C7A13B5B79}"/>
    <cellStyle name="Comma 4 3 3 2 6 4" xfId="19367" xr:uid="{493F7AE3-F875-482A-BB49-F7BCB2D68EF7}"/>
    <cellStyle name="Comma 4 3 3 2 7" xfId="2360" xr:uid="{00000000-0005-0000-0000-000082090000}"/>
    <cellStyle name="Comma 4 3 3 2 8" xfId="2781" xr:uid="{00000000-0005-0000-0000-000083090000}"/>
    <cellStyle name="Comma 4 3 3 2 8 2" xfId="7004" xr:uid="{00000000-0005-0000-0000-000084090000}"/>
    <cellStyle name="Comma 4 3 3 2 8 2 2" xfId="15454" xr:uid="{10B2D268-6F22-46E0-A0EE-EA346262E5A4}"/>
    <cellStyle name="Comma 4 3 3 2 8 2 3" xfId="23901" xr:uid="{AA4F3F70-EEF0-4F1B-8008-2A515DC83FA0}"/>
    <cellStyle name="Comma 4 3 3 2 8 3" xfId="11236" xr:uid="{AB8D4930-32EE-40FD-906F-E10A8DF70AE7}"/>
    <cellStyle name="Comma 4 3 3 2 8 4" xfId="19684" xr:uid="{7DF8D10A-37FA-4C8C-9701-BC7A317C2BE2}"/>
    <cellStyle name="Comma 4 3 3 2 9" xfId="4621" xr:uid="{00000000-0005-0000-0000-000085090000}"/>
    <cellStyle name="Comma 4 3 3 2 9 2" xfId="13071" xr:uid="{E6263979-E5A6-4AA8-B4AE-BE9BBC1CF6DE}"/>
    <cellStyle name="Comma 4 3 3 2 9 3" xfId="21518" xr:uid="{087A8E10-0CA6-425C-BD49-93C053464BE5}"/>
    <cellStyle name="Comma 4 3 3 3" xfId="686" xr:uid="{00000000-0005-0000-0000-000086090000}"/>
    <cellStyle name="Comma 4 3 3 3 2" xfId="2957" xr:uid="{00000000-0005-0000-0000-000087090000}"/>
    <cellStyle name="Comma 4 3 3 3 2 2" xfId="7179" xr:uid="{00000000-0005-0000-0000-000088090000}"/>
    <cellStyle name="Comma 4 3 3 3 2 2 2" xfId="15629" xr:uid="{3E4AA562-64D3-47D6-8936-20935B3C4BBA}"/>
    <cellStyle name="Comma 4 3 3 3 2 2 3" xfId="24076" xr:uid="{367501F1-9C51-41AD-A60F-068C07289BE9}"/>
    <cellStyle name="Comma 4 3 3 3 2 3" xfId="11411" xr:uid="{6E1E75D6-CA81-4443-86D4-AD027344E349}"/>
    <cellStyle name="Comma 4 3 3 3 2 4" xfId="19859" xr:uid="{2E49D577-76A1-4120-84E1-9DCA1060C824}"/>
    <cellStyle name="Comma 4 3 3 3 3" xfId="5034" xr:uid="{00000000-0005-0000-0000-000089090000}"/>
    <cellStyle name="Comma 4 3 3 3 3 2" xfId="13484" xr:uid="{33D272E1-2758-402E-A0D1-5693BFAC345B}"/>
    <cellStyle name="Comma 4 3 3 3 3 3" xfId="21931" xr:uid="{114AF7FF-D06F-40B4-BF46-7D9584F0384A}"/>
    <cellStyle name="Comma 4 3 3 3 4" xfId="9266" xr:uid="{10C665AE-C503-4CEA-86D8-75518A0D479C}"/>
    <cellStyle name="Comma 4 3 3 3 5" xfId="17714" xr:uid="{DEE4F98B-E97D-453D-BF81-7238EF262093}"/>
    <cellStyle name="Comma 4 3 3 4" xfId="1139" xr:uid="{00000000-0005-0000-0000-00008A090000}"/>
    <cellStyle name="Comma 4 3 3 4 2" xfId="3370" xr:uid="{00000000-0005-0000-0000-00008B090000}"/>
    <cellStyle name="Comma 4 3 3 4 2 2" xfId="7592" xr:uid="{00000000-0005-0000-0000-00008C090000}"/>
    <cellStyle name="Comma 4 3 3 4 2 2 2" xfId="16042" xr:uid="{C88AD345-2D79-45A4-A793-FE90DCA764F2}"/>
    <cellStyle name="Comma 4 3 3 4 2 2 3" xfId="24489" xr:uid="{1EB10998-A6A7-428A-91A7-AA40BAB73C6E}"/>
    <cellStyle name="Comma 4 3 3 4 2 3" xfId="11824" xr:uid="{00FC7084-29CB-491E-8E80-5F2B3A3C95D4}"/>
    <cellStyle name="Comma 4 3 3 4 2 4" xfId="20272" xr:uid="{8CD0846D-B3F9-48B4-81AC-8FE5E9E522A1}"/>
    <cellStyle name="Comma 4 3 3 4 3" xfId="5447" xr:uid="{00000000-0005-0000-0000-00008D090000}"/>
    <cellStyle name="Comma 4 3 3 4 3 2" xfId="13897" xr:uid="{D83FB8FA-397D-4C9F-BC5E-E3A2D8AFFDF8}"/>
    <cellStyle name="Comma 4 3 3 4 3 3" xfId="22344" xr:uid="{2C078F2F-08E4-49C3-B750-0D001487FAA8}"/>
    <cellStyle name="Comma 4 3 3 4 4" xfId="9679" xr:uid="{D12710CC-46F6-4B0C-88BD-FE0020E8FA3F}"/>
    <cellStyle name="Comma 4 3 3 4 5" xfId="18127" xr:uid="{E8DC145D-A00A-48BD-85F1-3E19E912C3A7}"/>
    <cellStyle name="Comma 4 3 3 5" xfId="1553" xr:uid="{00000000-0005-0000-0000-00008E090000}"/>
    <cellStyle name="Comma 4 3 3 5 2" xfId="3783" xr:uid="{00000000-0005-0000-0000-00008F090000}"/>
    <cellStyle name="Comma 4 3 3 5 2 2" xfId="8005" xr:uid="{00000000-0005-0000-0000-000090090000}"/>
    <cellStyle name="Comma 4 3 3 5 2 2 2" xfId="16455" xr:uid="{05A04C6D-4F31-4986-B427-10156FE01236}"/>
    <cellStyle name="Comma 4 3 3 5 2 2 3" xfId="24902" xr:uid="{09A044D4-453D-4448-A01C-A262ECB8078C}"/>
    <cellStyle name="Comma 4 3 3 5 2 3" xfId="12237" xr:uid="{D0DE72EA-BB75-4732-AD94-4B649FA5D941}"/>
    <cellStyle name="Comma 4 3 3 5 2 4" xfId="20685" xr:uid="{CAF126D8-A18B-4813-A1CB-82133A186E20}"/>
    <cellStyle name="Comma 4 3 3 5 3" xfId="5860" xr:uid="{00000000-0005-0000-0000-000091090000}"/>
    <cellStyle name="Comma 4 3 3 5 3 2" xfId="14310" xr:uid="{2BDE0858-987B-4E2F-9FF5-6E9AC5A054AC}"/>
    <cellStyle name="Comma 4 3 3 5 3 3" xfId="22757" xr:uid="{BBF5B685-B8CB-4FAA-A5EB-597D768F47CF}"/>
    <cellStyle name="Comma 4 3 3 5 4" xfId="10092" xr:uid="{56C0E8E2-83F3-4809-9371-03E1690E05F7}"/>
    <cellStyle name="Comma 4 3 3 5 5" xfId="18540" xr:uid="{7C644D43-5725-4B53-8AC1-0AB6F4CE51B5}"/>
    <cellStyle name="Comma 4 3 3 6" xfId="1967" xr:uid="{00000000-0005-0000-0000-000092090000}"/>
    <cellStyle name="Comma 4 3 3 6 2" xfId="4196" xr:uid="{00000000-0005-0000-0000-000093090000}"/>
    <cellStyle name="Comma 4 3 3 6 2 2" xfId="8418" xr:uid="{00000000-0005-0000-0000-000094090000}"/>
    <cellStyle name="Comma 4 3 3 6 2 2 2" xfId="16868" xr:uid="{EED133EC-AD35-477A-B15A-4CB266534B7E}"/>
    <cellStyle name="Comma 4 3 3 6 2 2 3" xfId="25315" xr:uid="{C3EDF347-33D1-4C89-AC19-C97B0CC3FC40}"/>
    <cellStyle name="Comma 4 3 3 6 2 3" xfId="12650" xr:uid="{54295784-D62F-485E-ABE1-E6F18F5D5842}"/>
    <cellStyle name="Comma 4 3 3 6 2 4" xfId="21098" xr:uid="{6FA73907-009E-4F4B-AAAD-FCB844AF3842}"/>
    <cellStyle name="Comma 4 3 3 6 3" xfId="6273" xr:uid="{00000000-0005-0000-0000-000095090000}"/>
    <cellStyle name="Comma 4 3 3 6 3 2" xfId="14723" xr:uid="{AFAA15D2-A62B-4A2E-88FB-85776A4BC08B}"/>
    <cellStyle name="Comma 4 3 3 6 3 3" xfId="23170" xr:uid="{D395E373-652E-4649-A152-47668B46577F}"/>
    <cellStyle name="Comma 4 3 3 6 4" xfId="10505" xr:uid="{541A808D-86CE-4249-A8ED-EBB7A2F880B8}"/>
    <cellStyle name="Comma 4 3 3 6 5" xfId="18953" xr:uid="{49ACD8B8-8BCC-4E20-AEF2-10BC28210C55}"/>
    <cellStyle name="Comma 4 3 3 7" xfId="2402" xr:uid="{00000000-0005-0000-0000-000096090000}"/>
    <cellStyle name="Comma 4 3 3 7 2" xfId="6686" xr:uid="{00000000-0005-0000-0000-000097090000}"/>
    <cellStyle name="Comma 4 3 3 7 2 2" xfId="15136" xr:uid="{4AA6FD7C-54F9-4A5A-9006-BAD94BD56A83}"/>
    <cellStyle name="Comma 4 3 3 7 2 3" xfId="23583" xr:uid="{B44032B3-C4BD-49FB-ADB9-30DFEB7300BD}"/>
    <cellStyle name="Comma 4 3 3 7 3" xfId="10918" xr:uid="{AC4AE276-F813-469F-8690-84072714413C}"/>
    <cellStyle name="Comma 4 3 3 7 4" xfId="19366" xr:uid="{F69604DA-AF83-427F-A360-2E8C1BFB56FD}"/>
    <cellStyle name="Comma 4 3 3 8" xfId="2361" xr:uid="{00000000-0005-0000-0000-000098090000}"/>
    <cellStyle name="Comma 4 3 3 9" xfId="2780" xr:uid="{00000000-0005-0000-0000-000099090000}"/>
    <cellStyle name="Comma 4 3 3 9 2" xfId="7003" xr:uid="{00000000-0005-0000-0000-00009A090000}"/>
    <cellStyle name="Comma 4 3 3 9 2 2" xfId="15453" xr:uid="{93944600-903D-4AF6-8FB4-AF0ABA4887A2}"/>
    <cellStyle name="Comma 4 3 3 9 2 3" xfId="23900" xr:uid="{7143639F-5F87-4E61-81A7-92D1F64CE3DE}"/>
    <cellStyle name="Comma 4 3 3 9 3" xfId="11235" xr:uid="{F97C5660-B651-4FCE-9ECE-1149C9F4C2A2}"/>
    <cellStyle name="Comma 4 3 3 9 4" xfId="19683" xr:uid="{753C0C97-CE54-4E93-A862-C7BF0CA5A7D4}"/>
    <cellStyle name="Comma 4 3 4" xfId="151" xr:uid="{00000000-0005-0000-0000-00009B090000}"/>
    <cellStyle name="Comma 4 3 4 10" xfId="8854" xr:uid="{47C0D6A2-4FC2-4283-9FEA-E085381E01EC}"/>
    <cellStyle name="Comma 4 3 4 11" xfId="17302" xr:uid="{F9E3C37F-DC48-45FA-87D6-62A0E02BF8A9}"/>
    <cellStyle name="Comma 4 3 4 2" xfId="688" xr:uid="{00000000-0005-0000-0000-00009C090000}"/>
    <cellStyle name="Comma 4 3 4 2 2" xfId="2959" xr:uid="{00000000-0005-0000-0000-00009D090000}"/>
    <cellStyle name="Comma 4 3 4 2 2 2" xfId="7181" xr:uid="{00000000-0005-0000-0000-00009E090000}"/>
    <cellStyle name="Comma 4 3 4 2 2 2 2" xfId="15631" xr:uid="{7E2C4BFD-4E5A-45D7-A26C-EA250F656374}"/>
    <cellStyle name="Comma 4 3 4 2 2 2 3" xfId="24078" xr:uid="{EB132CA2-C8C8-4110-BD08-6E025077B35F}"/>
    <cellStyle name="Comma 4 3 4 2 2 3" xfId="11413" xr:uid="{FE1D09C6-EF62-402E-8C81-33A80715E040}"/>
    <cellStyle name="Comma 4 3 4 2 2 4" xfId="19861" xr:uid="{44043D5D-7715-4682-B210-326972815C46}"/>
    <cellStyle name="Comma 4 3 4 2 3" xfId="5036" xr:uid="{00000000-0005-0000-0000-00009F090000}"/>
    <cellStyle name="Comma 4 3 4 2 3 2" xfId="13486" xr:uid="{DD3C0A33-066D-415D-8440-2C4F92DCE2DD}"/>
    <cellStyle name="Comma 4 3 4 2 3 3" xfId="21933" xr:uid="{B648470C-6D38-4D19-B07C-75AADA2C7D5A}"/>
    <cellStyle name="Comma 4 3 4 2 4" xfId="9268" xr:uid="{9F53FA7F-0D0E-401A-B421-E14F450F494E}"/>
    <cellStyle name="Comma 4 3 4 2 5" xfId="17716" xr:uid="{BD8E0269-52D1-472F-BD51-7736A292CF66}"/>
    <cellStyle name="Comma 4 3 4 3" xfId="1141" xr:uid="{00000000-0005-0000-0000-0000A0090000}"/>
    <cellStyle name="Comma 4 3 4 3 2" xfId="3372" xr:uid="{00000000-0005-0000-0000-0000A1090000}"/>
    <cellStyle name="Comma 4 3 4 3 2 2" xfId="7594" xr:uid="{00000000-0005-0000-0000-0000A2090000}"/>
    <cellStyle name="Comma 4 3 4 3 2 2 2" xfId="16044" xr:uid="{52CEBE73-81B2-4399-9AE8-F24FAFD84EDE}"/>
    <cellStyle name="Comma 4 3 4 3 2 2 3" xfId="24491" xr:uid="{36CE5228-C4AB-40FC-B282-7DE10595B1C2}"/>
    <cellStyle name="Comma 4 3 4 3 2 3" xfId="11826" xr:uid="{27F83398-0DDE-4AFE-959C-25FCBCAA087D}"/>
    <cellStyle name="Comma 4 3 4 3 2 4" xfId="20274" xr:uid="{2EB3F4D5-E030-4422-9691-45120B5200C8}"/>
    <cellStyle name="Comma 4 3 4 3 3" xfId="5449" xr:uid="{00000000-0005-0000-0000-0000A3090000}"/>
    <cellStyle name="Comma 4 3 4 3 3 2" xfId="13899" xr:uid="{B8CBCE5D-586D-4F6A-879C-17FC371E7FA2}"/>
    <cellStyle name="Comma 4 3 4 3 3 3" xfId="22346" xr:uid="{696C4232-F026-4EF2-8E53-A6D49453073A}"/>
    <cellStyle name="Comma 4 3 4 3 4" xfId="9681" xr:uid="{0FD04D01-956F-4817-B07C-A983317196BB}"/>
    <cellStyle name="Comma 4 3 4 3 5" xfId="18129" xr:uid="{8F175FEB-3EC1-4DD2-A451-148946EDDC3F}"/>
    <cellStyle name="Comma 4 3 4 4" xfId="1555" xr:uid="{00000000-0005-0000-0000-0000A4090000}"/>
    <cellStyle name="Comma 4 3 4 4 2" xfId="3785" xr:uid="{00000000-0005-0000-0000-0000A5090000}"/>
    <cellStyle name="Comma 4 3 4 4 2 2" xfId="8007" xr:uid="{00000000-0005-0000-0000-0000A6090000}"/>
    <cellStyle name="Comma 4 3 4 4 2 2 2" xfId="16457" xr:uid="{E52A537E-7420-4FEF-9850-1C5556703FEF}"/>
    <cellStyle name="Comma 4 3 4 4 2 2 3" xfId="24904" xr:uid="{50A1DF0C-A14C-422E-A740-CFABD256ED4D}"/>
    <cellStyle name="Comma 4 3 4 4 2 3" xfId="12239" xr:uid="{664F5FDE-FE07-414E-BDB0-11A3C355F884}"/>
    <cellStyle name="Comma 4 3 4 4 2 4" xfId="20687" xr:uid="{CE670154-0BAF-48C2-8CC3-D00644F77430}"/>
    <cellStyle name="Comma 4 3 4 4 3" xfId="5862" xr:uid="{00000000-0005-0000-0000-0000A7090000}"/>
    <cellStyle name="Comma 4 3 4 4 3 2" xfId="14312" xr:uid="{B4D6ABB2-AA97-489D-B21E-04BBCEF5BD9F}"/>
    <cellStyle name="Comma 4 3 4 4 3 3" xfId="22759" xr:uid="{E7C016B8-3A72-4826-816C-F00DBBD8D802}"/>
    <cellStyle name="Comma 4 3 4 4 4" xfId="10094" xr:uid="{E9D93687-1EB4-4114-A290-1B65F8C30AAB}"/>
    <cellStyle name="Comma 4 3 4 4 5" xfId="18542" xr:uid="{661F1399-41BF-4CAD-BB89-333E963831F9}"/>
    <cellStyle name="Comma 4 3 4 5" xfId="1969" xr:uid="{00000000-0005-0000-0000-0000A8090000}"/>
    <cellStyle name="Comma 4 3 4 5 2" xfId="4198" xr:uid="{00000000-0005-0000-0000-0000A9090000}"/>
    <cellStyle name="Comma 4 3 4 5 2 2" xfId="8420" xr:uid="{00000000-0005-0000-0000-0000AA090000}"/>
    <cellStyle name="Comma 4 3 4 5 2 2 2" xfId="16870" xr:uid="{DAE0B55A-BB40-4B3F-B45E-7CAD3D279BFF}"/>
    <cellStyle name="Comma 4 3 4 5 2 2 3" xfId="25317" xr:uid="{BB47D0D9-0454-4583-95F1-14675822B3D6}"/>
    <cellStyle name="Comma 4 3 4 5 2 3" xfId="12652" xr:uid="{920881C4-8551-4574-BC4C-9A1B6FC13DF0}"/>
    <cellStyle name="Comma 4 3 4 5 2 4" xfId="21100" xr:uid="{B11E1E8C-002F-4CAF-994E-3C5A413244F8}"/>
    <cellStyle name="Comma 4 3 4 5 3" xfId="6275" xr:uid="{00000000-0005-0000-0000-0000AB090000}"/>
    <cellStyle name="Comma 4 3 4 5 3 2" xfId="14725" xr:uid="{BCF3D12E-4813-4E4C-82D1-CB33D5E7D4E4}"/>
    <cellStyle name="Comma 4 3 4 5 3 3" xfId="23172" xr:uid="{B6625560-FE31-4EA5-A93F-3D96CED8A97F}"/>
    <cellStyle name="Comma 4 3 4 5 4" xfId="10507" xr:uid="{9AD4645B-5DBF-4F98-9F56-B87C1E4915C5}"/>
    <cellStyle name="Comma 4 3 4 5 5" xfId="18955" xr:uid="{0FBDAB50-9BEB-4221-A4E9-1D6C61FA76E0}"/>
    <cellStyle name="Comma 4 3 4 6" xfId="2404" xr:uid="{00000000-0005-0000-0000-0000AC090000}"/>
    <cellStyle name="Comma 4 3 4 6 2" xfId="6688" xr:uid="{00000000-0005-0000-0000-0000AD090000}"/>
    <cellStyle name="Comma 4 3 4 6 2 2" xfId="15138" xr:uid="{96D8B8AB-E670-459B-B5C5-9C95715E166F}"/>
    <cellStyle name="Comma 4 3 4 6 2 3" xfId="23585" xr:uid="{D83A6FFB-95FB-4360-ABA6-A8B8F8DC55CA}"/>
    <cellStyle name="Comma 4 3 4 6 3" xfId="10920" xr:uid="{644E8917-EBD5-4822-8589-7DAADC02FC70}"/>
    <cellStyle name="Comma 4 3 4 6 4" xfId="19368" xr:uid="{01A75364-A4E9-4899-BC49-3F32381BAAFC}"/>
    <cellStyle name="Comma 4 3 4 7" xfId="2700" xr:uid="{00000000-0005-0000-0000-0000AE090000}"/>
    <cellStyle name="Comma 4 3 4 8" xfId="2782" xr:uid="{00000000-0005-0000-0000-0000AF090000}"/>
    <cellStyle name="Comma 4 3 4 8 2" xfId="7005" xr:uid="{00000000-0005-0000-0000-0000B0090000}"/>
    <cellStyle name="Comma 4 3 4 8 2 2" xfId="15455" xr:uid="{ADC3A63A-4D02-45C9-A1D5-58DD77F24DA9}"/>
    <cellStyle name="Comma 4 3 4 8 2 3" xfId="23902" xr:uid="{8D75C639-20D9-4861-8B56-3708159BF04F}"/>
    <cellStyle name="Comma 4 3 4 8 3" xfId="11237" xr:uid="{D351C381-9647-412E-93AB-8FD568548042}"/>
    <cellStyle name="Comma 4 3 4 8 4" xfId="19685" xr:uid="{45EFDDC1-834B-4297-83B8-B570790E3BE3}"/>
    <cellStyle name="Comma 4 3 4 9" xfId="4622" xr:uid="{00000000-0005-0000-0000-0000B1090000}"/>
    <cellStyle name="Comma 4 3 4 9 2" xfId="13072" xr:uid="{CC3B439F-22BD-4F26-B5B5-F332110DF30D}"/>
    <cellStyle name="Comma 4 3 4 9 3" xfId="21519" xr:uid="{2944F3A1-6393-4622-AD66-B742EC91C5F7}"/>
    <cellStyle name="Comma 4 3 5" xfId="152" xr:uid="{00000000-0005-0000-0000-0000B2090000}"/>
    <cellStyle name="Comma 4 3 5 10" xfId="8855" xr:uid="{DFD62890-E3DE-4317-943C-761D109DCA84}"/>
    <cellStyle name="Comma 4 3 5 11" xfId="17303" xr:uid="{0C468DCB-46CF-439C-8E12-DBDB5329A1C9}"/>
    <cellStyle name="Comma 4 3 5 2" xfId="689" xr:uid="{00000000-0005-0000-0000-0000B3090000}"/>
    <cellStyle name="Comma 4 3 5 2 2" xfId="2960" xr:uid="{00000000-0005-0000-0000-0000B4090000}"/>
    <cellStyle name="Comma 4 3 5 2 2 2" xfId="7182" xr:uid="{00000000-0005-0000-0000-0000B5090000}"/>
    <cellStyle name="Comma 4 3 5 2 2 2 2" xfId="15632" xr:uid="{36D86264-0C8A-4AD2-8F34-867D1EFC0D43}"/>
    <cellStyle name="Comma 4 3 5 2 2 2 3" xfId="24079" xr:uid="{3CBEB67C-2345-4D1C-B02C-F7251CDE20C2}"/>
    <cellStyle name="Comma 4 3 5 2 2 3" xfId="11414" xr:uid="{7627E349-F546-4C30-A5AE-D945941A513A}"/>
    <cellStyle name="Comma 4 3 5 2 2 4" xfId="19862" xr:uid="{4DB1EE6A-7510-4CC8-9743-779D916DF984}"/>
    <cellStyle name="Comma 4 3 5 2 3" xfId="5037" xr:uid="{00000000-0005-0000-0000-0000B6090000}"/>
    <cellStyle name="Comma 4 3 5 2 3 2" xfId="13487" xr:uid="{764A6525-A6A4-4AC1-9FF5-6DB1844A00AB}"/>
    <cellStyle name="Comma 4 3 5 2 3 3" xfId="21934" xr:uid="{614729F3-FEAA-40A6-B8E7-68734DF7468A}"/>
    <cellStyle name="Comma 4 3 5 2 4" xfId="9269" xr:uid="{D1CC4825-FD06-4D39-BC07-EA166BEDAEFE}"/>
    <cellStyle name="Comma 4 3 5 2 5" xfId="17717" xr:uid="{229FD6AD-7B78-4DB1-AB57-50636C9DED80}"/>
    <cellStyle name="Comma 4 3 5 3" xfId="1142" xr:uid="{00000000-0005-0000-0000-0000B7090000}"/>
    <cellStyle name="Comma 4 3 5 3 2" xfId="3373" xr:uid="{00000000-0005-0000-0000-0000B8090000}"/>
    <cellStyle name="Comma 4 3 5 3 2 2" xfId="7595" xr:uid="{00000000-0005-0000-0000-0000B9090000}"/>
    <cellStyle name="Comma 4 3 5 3 2 2 2" xfId="16045" xr:uid="{AB205F4A-BFC2-475C-B4D5-59FC0D2014B5}"/>
    <cellStyle name="Comma 4 3 5 3 2 2 3" xfId="24492" xr:uid="{9FA96F0D-6EC2-4FF5-8C01-4DBEAE9F45D4}"/>
    <cellStyle name="Comma 4 3 5 3 2 3" xfId="11827" xr:uid="{205EFF4D-29C9-4624-B45A-5551C7A4D6C1}"/>
    <cellStyle name="Comma 4 3 5 3 2 4" xfId="20275" xr:uid="{F360DEDA-4A54-4DBB-8D2D-523BCA8538F0}"/>
    <cellStyle name="Comma 4 3 5 3 3" xfId="5450" xr:uid="{00000000-0005-0000-0000-0000BA090000}"/>
    <cellStyle name="Comma 4 3 5 3 3 2" xfId="13900" xr:uid="{BA7A2C10-2778-46E2-961D-E59581457F66}"/>
    <cellStyle name="Comma 4 3 5 3 3 3" xfId="22347" xr:uid="{4CAEDA3E-D2EF-47C3-9100-413EDCFC372B}"/>
    <cellStyle name="Comma 4 3 5 3 4" xfId="9682" xr:uid="{F4819420-9C6F-42F6-9B51-77EEE22425E8}"/>
    <cellStyle name="Comma 4 3 5 3 5" xfId="18130" xr:uid="{D1D7A833-261B-4391-852F-0E243CD838C9}"/>
    <cellStyle name="Comma 4 3 5 4" xfId="1556" xr:uid="{00000000-0005-0000-0000-0000BB090000}"/>
    <cellStyle name="Comma 4 3 5 4 2" xfId="3786" xr:uid="{00000000-0005-0000-0000-0000BC090000}"/>
    <cellStyle name="Comma 4 3 5 4 2 2" xfId="8008" xr:uid="{00000000-0005-0000-0000-0000BD090000}"/>
    <cellStyle name="Comma 4 3 5 4 2 2 2" xfId="16458" xr:uid="{89EF92C2-4C1D-4103-9BF1-97B86EA1470D}"/>
    <cellStyle name="Comma 4 3 5 4 2 2 3" xfId="24905" xr:uid="{151ABA01-A9A4-4FEE-8D5A-8E4D6CA6D9D6}"/>
    <cellStyle name="Comma 4 3 5 4 2 3" xfId="12240" xr:uid="{CB8D43F1-EF22-4257-9273-26905F87315E}"/>
    <cellStyle name="Comma 4 3 5 4 2 4" xfId="20688" xr:uid="{A4BEA645-BF19-4DEC-B212-BCD825EBBC4B}"/>
    <cellStyle name="Comma 4 3 5 4 3" xfId="5863" xr:uid="{00000000-0005-0000-0000-0000BE090000}"/>
    <cellStyle name="Comma 4 3 5 4 3 2" xfId="14313" xr:uid="{BB009C53-C335-4279-95A5-E075AC78F4A7}"/>
    <cellStyle name="Comma 4 3 5 4 3 3" xfId="22760" xr:uid="{D4A600DC-004B-40C6-AE4B-DC30D68D8200}"/>
    <cellStyle name="Comma 4 3 5 4 4" xfId="10095" xr:uid="{85EDF419-7EA6-47F3-87B9-E240F611E9F0}"/>
    <cellStyle name="Comma 4 3 5 4 5" xfId="18543" xr:uid="{7EA13620-B6E3-4AAB-A0F4-797F3D2B298D}"/>
    <cellStyle name="Comma 4 3 5 5" xfId="1970" xr:uid="{00000000-0005-0000-0000-0000BF090000}"/>
    <cellStyle name="Comma 4 3 5 5 2" xfId="4199" xr:uid="{00000000-0005-0000-0000-0000C0090000}"/>
    <cellStyle name="Comma 4 3 5 5 2 2" xfId="8421" xr:uid="{00000000-0005-0000-0000-0000C1090000}"/>
    <cellStyle name="Comma 4 3 5 5 2 2 2" xfId="16871" xr:uid="{96C7CF8C-F1C8-47D7-8DDA-E50915FEE029}"/>
    <cellStyle name="Comma 4 3 5 5 2 2 3" xfId="25318" xr:uid="{32A37C35-0478-4945-B98D-4B302F7C7815}"/>
    <cellStyle name="Comma 4 3 5 5 2 3" xfId="12653" xr:uid="{1BA455ED-BF59-4A79-8944-B149BBB843A2}"/>
    <cellStyle name="Comma 4 3 5 5 2 4" xfId="21101" xr:uid="{2AB432C1-431D-49E0-AAEF-FAC245112D29}"/>
    <cellStyle name="Comma 4 3 5 5 3" xfId="6276" xr:uid="{00000000-0005-0000-0000-0000C2090000}"/>
    <cellStyle name="Comma 4 3 5 5 3 2" xfId="14726" xr:uid="{2EF72960-BD8C-4256-8DB8-3D400C2179AE}"/>
    <cellStyle name="Comma 4 3 5 5 3 3" xfId="23173" xr:uid="{B4E130DE-3450-447D-9B0F-E8B07D0DDDA7}"/>
    <cellStyle name="Comma 4 3 5 5 4" xfId="10508" xr:uid="{A50DE81D-E43A-429B-BA2E-949AA51696E2}"/>
    <cellStyle name="Comma 4 3 5 5 5" xfId="18956" xr:uid="{C5C09F38-E30F-4A86-9C6A-EE82672C191A}"/>
    <cellStyle name="Comma 4 3 5 6" xfId="2405" xr:uid="{00000000-0005-0000-0000-0000C3090000}"/>
    <cellStyle name="Comma 4 3 5 6 2" xfId="6689" xr:uid="{00000000-0005-0000-0000-0000C4090000}"/>
    <cellStyle name="Comma 4 3 5 6 2 2" xfId="15139" xr:uid="{C8D51C46-BC6E-4084-B058-76B467BE4116}"/>
    <cellStyle name="Comma 4 3 5 6 2 3" xfId="23586" xr:uid="{013E7EBE-8FCE-41A3-98EF-AC967642F9F3}"/>
    <cellStyle name="Comma 4 3 5 6 3" xfId="10921" xr:uid="{E47020CF-AAB8-46E6-B44A-378DACFD775A}"/>
    <cellStyle name="Comma 4 3 5 6 4" xfId="19369" xr:uid="{41C36192-CDB5-4170-A695-E08A05F8A551}"/>
    <cellStyle name="Comma 4 3 5 7" xfId="2701" xr:uid="{00000000-0005-0000-0000-0000C5090000}"/>
    <cellStyle name="Comma 4 3 5 8" xfId="2783" xr:uid="{00000000-0005-0000-0000-0000C6090000}"/>
    <cellStyle name="Comma 4 3 5 8 2" xfId="7006" xr:uid="{00000000-0005-0000-0000-0000C7090000}"/>
    <cellStyle name="Comma 4 3 5 8 2 2" xfId="15456" xr:uid="{5C61403C-BB10-481E-9864-72458A425F89}"/>
    <cellStyle name="Comma 4 3 5 8 2 3" xfId="23903" xr:uid="{B77356C0-0D0F-483B-AE50-911FEB0D6463}"/>
    <cellStyle name="Comma 4 3 5 8 3" xfId="11238" xr:uid="{E90EF068-96B3-4BB3-A332-B85E76628F60}"/>
    <cellStyle name="Comma 4 3 5 8 4" xfId="19686" xr:uid="{AD2D117C-810F-44D8-A058-6146EE962B5E}"/>
    <cellStyle name="Comma 4 3 5 9" xfId="4623" xr:uid="{00000000-0005-0000-0000-0000C8090000}"/>
    <cellStyle name="Comma 4 3 5 9 2" xfId="13073" xr:uid="{E5F215AC-CDEE-46BE-9B12-73F2B5229BAA}"/>
    <cellStyle name="Comma 4 3 5 9 3" xfId="21520" xr:uid="{01C3F9FB-FB3B-4DEE-9BDA-2CEE0DF2213E}"/>
    <cellStyle name="Comma 4 4" xfId="153" xr:uid="{00000000-0005-0000-0000-0000C9090000}"/>
    <cellStyle name="Comma 4 4 10" xfId="2784" xr:uid="{00000000-0005-0000-0000-0000CA090000}"/>
    <cellStyle name="Comma 4 4 10 2" xfId="7007" xr:uid="{00000000-0005-0000-0000-0000CB090000}"/>
    <cellStyle name="Comma 4 4 10 2 2" xfId="15457" xr:uid="{FEEE10BF-8A21-4DDE-A7F4-DE36FAEFA9DB}"/>
    <cellStyle name="Comma 4 4 10 2 3" xfId="23904" xr:uid="{9073126A-E5EC-4FA9-904B-0D1D1B3BDA4E}"/>
    <cellStyle name="Comma 4 4 10 3" xfId="11239" xr:uid="{A3185479-0E90-49C6-85DE-2B6E64F5677B}"/>
    <cellStyle name="Comma 4 4 10 4" xfId="19687" xr:uid="{1A9C920D-0CC8-4C03-9CD7-82D27326FB19}"/>
    <cellStyle name="Comma 4 4 11" xfId="4624" xr:uid="{00000000-0005-0000-0000-0000CC090000}"/>
    <cellStyle name="Comma 4 4 11 2" xfId="13074" xr:uid="{5AFE2246-BED9-47EB-9C77-536D651A254F}"/>
    <cellStyle name="Comma 4 4 11 3" xfId="21521" xr:uid="{618C8C31-C0E5-47AA-9A94-5234F069E2AF}"/>
    <cellStyle name="Comma 4 4 12" xfId="8856" xr:uid="{884AB4B6-6F43-4B8F-89B5-55E794B6F811}"/>
    <cellStyle name="Comma 4 4 13" xfId="17304" xr:uid="{C9828A69-DE71-44EF-8C14-A3EE6B778DC1}"/>
    <cellStyle name="Comma 4 4 2" xfId="154" xr:uid="{00000000-0005-0000-0000-0000CD090000}"/>
    <cellStyle name="Comma 4 4 2 10" xfId="4625" xr:uid="{00000000-0005-0000-0000-0000CE090000}"/>
    <cellStyle name="Comma 4 4 2 10 2" xfId="13075" xr:uid="{5887CFB1-8686-41BD-8FB4-6AFF70085862}"/>
    <cellStyle name="Comma 4 4 2 10 3" xfId="21522" xr:uid="{67FB616A-B91C-41C4-A18A-145D55CE1B08}"/>
    <cellStyle name="Comma 4 4 2 11" xfId="8857" xr:uid="{71DB0AFC-DBC5-431B-9190-691E7DFD7091}"/>
    <cellStyle name="Comma 4 4 2 12" xfId="17305" xr:uid="{44C41F55-1A6D-476E-83AB-F76FDC5864E9}"/>
    <cellStyle name="Comma 4 4 2 2" xfId="155" xr:uid="{00000000-0005-0000-0000-0000CF090000}"/>
    <cellStyle name="Comma 4 4 2 2 10" xfId="8858" xr:uid="{B5659A23-B122-4F05-BA4F-82916611FC9A}"/>
    <cellStyle name="Comma 4 4 2 2 11" xfId="17306" xr:uid="{11C7E709-7945-44AD-970E-93517238BFF1}"/>
    <cellStyle name="Comma 4 4 2 2 2" xfId="692" xr:uid="{00000000-0005-0000-0000-0000D0090000}"/>
    <cellStyle name="Comma 4 4 2 2 2 2" xfId="2963" xr:uid="{00000000-0005-0000-0000-0000D1090000}"/>
    <cellStyle name="Comma 4 4 2 2 2 2 2" xfId="7185" xr:uid="{00000000-0005-0000-0000-0000D2090000}"/>
    <cellStyle name="Comma 4 4 2 2 2 2 2 2" xfId="15635" xr:uid="{E64F01C0-B9D0-410B-8EC6-3B7C6C524C0B}"/>
    <cellStyle name="Comma 4 4 2 2 2 2 2 3" xfId="24082" xr:uid="{7D2691BC-DF03-4510-A05C-C29E01107787}"/>
    <cellStyle name="Comma 4 4 2 2 2 2 3" xfId="11417" xr:uid="{267EE221-76E4-4692-9FB2-6232EDD188E8}"/>
    <cellStyle name="Comma 4 4 2 2 2 2 4" xfId="19865" xr:uid="{1613AFB8-D860-41BC-B43B-EB66D64FB802}"/>
    <cellStyle name="Comma 4 4 2 2 2 3" xfId="5040" xr:uid="{00000000-0005-0000-0000-0000D3090000}"/>
    <cellStyle name="Comma 4 4 2 2 2 3 2" xfId="13490" xr:uid="{AB829D2A-488D-4882-BAF0-264499CB04DC}"/>
    <cellStyle name="Comma 4 4 2 2 2 3 3" xfId="21937" xr:uid="{30052819-A8BB-448F-83C4-66AA299F5FF4}"/>
    <cellStyle name="Comma 4 4 2 2 2 4" xfId="9272" xr:uid="{21D68837-BE8A-4BC4-844B-CD277D33C675}"/>
    <cellStyle name="Comma 4 4 2 2 2 5" xfId="17720" xr:uid="{B765CA4B-F7B1-47BD-9159-B04DCD70849A}"/>
    <cellStyle name="Comma 4 4 2 2 3" xfId="1145" xr:uid="{00000000-0005-0000-0000-0000D4090000}"/>
    <cellStyle name="Comma 4 4 2 2 3 2" xfId="3376" xr:uid="{00000000-0005-0000-0000-0000D5090000}"/>
    <cellStyle name="Comma 4 4 2 2 3 2 2" xfId="7598" xr:uid="{00000000-0005-0000-0000-0000D6090000}"/>
    <cellStyle name="Comma 4 4 2 2 3 2 2 2" xfId="16048" xr:uid="{20EF2BB0-5E45-4573-BDB6-5CD3BB4778AA}"/>
    <cellStyle name="Comma 4 4 2 2 3 2 2 3" xfId="24495" xr:uid="{F10E501D-EE88-4283-B82A-D28102F14540}"/>
    <cellStyle name="Comma 4 4 2 2 3 2 3" xfId="11830" xr:uid="{702AD881-3332-4F6F-8C59-1951100743EB}"/>
    <cellStyle name="Comma 4 4 2 2 3 2 4" xfId="20278" xr:uid="{8E7DD798-0CB3-4CBB-8B96-79CEE3F6EAB0}"/>
    <cellStyle name="Comma 4 4 2 2 3 3" xfId="5453" xr:uid="{00000000-0005-0000-0000-0000D7090000}"/>
    <cellStyle name="Comma 4 4 2 2 3 3 2" xfId="13903" xr:uid="{6AAA0D5D-05B3-4824-9BC2-9CB271BA0C9B}"/>
    <cellStyle name="Comma 4 4 2 2 3 3 3" xfId="22350" xr:uid="{A5509A15-6597-4C11-93F5-A3ED38661DBA}"/>
    <cellStyle name="Comma 4 4 2 2 3 4" xfId="9685" xr:uid="{ECE137BF-0F94-47D6-8A86-4AD7B5AB16B1}"/>
    <cellStyle name="Comma 4 4 2 2 3 5" xfId="18133" xr:uid="{CCF181CF-4E73-48BF-BB2C-2F69134DB368}"/>
    <cellStyle name="Comma 4 4 2 2 4" xfId="1559" xr:uid="{00000000-0005-0000-0000-0000D8090000}"/>
    <cellStyle name="Comma 4 4 2 2 4 2" xfId="3789" xr:uid="{00000000-0005-0000-0000-0000D9090000}"/>
    <cellStyle name="Comma 4 4 2 2 4 2 2" xfId="8011" xr:uid="{00000000-0005-0000-0000-0000DA090000}"/>
    <cellStyle name="Comma 4 4 2 2 4 2 2 2" xfId="16461" xr:uid="{C57336E5-C7BC-4B97-8080-4A6944D0B03D}"/>
    <cellStyle name="Comma 4 4 2 2 4 2 2 3" xfId="24908" xr:uid="{AACAD13B-CC7C-4137-B90B-2A9ED68C3DD2}"/>
    <cellStyle name="Comma 4 4 2 2 4 2 3" xfId="12243" xr:uid="{2CEE0311-1986-4161-AC62-AC21EB22C1A4}"/>
    <cellStyle name="Comma 4 4 2 2 4 2 4" xfId="20691" xr:uid="{B2EF8F9A-D651-413F-83AC-E47C25CE5316}"/>
    <cellStyle name="Comma 4 4 2 2 4 3" xfId="5866" xr:uid="{00000000-0005-0000-0000-0000DB090000}"/>
    <cellStyle name="Comma 4 4 2 2 4 3 2" xfId="14316" xr:uid="{AFE30E94-E039-49E7-A88C-6C2223832B39}"/>
    <cellStyle name="Comma 4 4 2 2 4 3 3" xfId="22763" xr:uid="{52A16C3F-54CF-4B49-8863-2378B37B7283}"/>
    <cellStyle name="Comma 4 4 2 2 4 4" xfId="10098" xr:uid="{C21A63B3-DD6E-4E96-BE12-676979A7203D}"/>
    <cellStyle name="Comma 4 4 2 2 4 5" xfId="18546" xr:uid="{9EC10232-BD87-4CD3-939F-79475907049A}"/>
    <cellStyle name="Comma 4 4 2 2 5" xfId="1973" xr:uid="{00000000-0005-0000-0000-0000DC090000}"/>
    <cellStyle name="Comma 4 4 2 2 5 2" xfId="4202" xr:uid="{00000000-0005-0000-0000-0000DD090000}"/>
    <cellStyle name="Comma 4 4 2 2 5 2 2" xfId="8424" xr:uid="{00000000-0005-0000-0000-0000DE090000}"/>
    <cellStyle name="Comma 4 4 2 2 5 2 2 2" xfId="16874" xr:uid="{697FAFAC-8A9D-4C29-94A9-08990394D351}"/>
    <cellStyle name="Comma 4 4 2 2 5 2 2 3" xfId="25321" xr:uid="{4EEA395E-D65A-42DC-9300-D7D8FB69D620}"/>
    <cellStyle name="Comma 4 4 2 2 5 2 3" xfId="12656" xr:uid="{5638275D-3440-42B4-9DE2-DDDADC3B228F}"/>
    <cellStyle name="Comma 4 4 2 2 5 2 4" xfId="21104" xr:uid="{5A4E0EFA-945C-4AFF-8D66-7188754FFCA0}"/>
    <cellStyle name="Comma 4 4 2 2 5 3" xfId="6279" xr:uid="{00000000-0005-0000-0000-0000DF090000}"/>
    <cellStyle name="Comma 4 4 2 2 5 3 2" xfId="14729" xr:uid="{B0887087-6286-4A75-A0B7-10875319110D}"/>
    <cellStyle name="Comma 4 4 2 2 5 3 3" xfId="23176" xr:uid="{FC920E86-0159-4DE3-905F-0F53E5CD4B8A}"/>
    <cellStyle name="Comma 4 4 2 2 5 4" xfId="10511" xr:uid="{86E3F14D-2EFC-486E-8A97-91C38CDB0C84}"/>
    <cellStyle name="Comma 4 4 2 2 5 5" xfId="18959" xr:uid="{1F7E1672-5AB8-4C8D-ACAD-6DC464BB6B92}"/>
    <cellStyle name="Comma 4 4 2 2 6" xfId="2408" xr:uid="{00000000-0005-0000-0000-0000E0090000}"/>
    <cellStyle name="Comma 4 4 2 2 6 2" xfId="6692" xr:uid="{00000000-0005-0000-0000-0000E1090000}"/>
    <cellStyle name="Comma 4 4 2 2 6 2 2" xfId="15142" xr:uid="{35408650-E1F5-4CEB-B1A3-AF26C6A71DDF}"/>
    <cellStyle name="Comma 4 4 2 2 6 2 3" xfId="23589" xr:uid="{143423FA-8526-4422-8776-61CD2CB18711}"/>
    <cellStyle name="Comma 4 4 2 2 6 3" xfId="10924" xr:uid="{76DC4DB1-B6F4-423B-BB67-DA4462E1CEAA}"/>
    <cellStyle name="Comma 4 4 2 2 6 4" xfId="19372" xr:uid="{B4E6D8D8-27FA-4927-B8FA-61C77F07F8E2}"/>
    <cellStyle name="Comma 4 4 2 2 7" xfId="2704" xr:uid="{00000000-0005-0000-0000-0000E2090000}"/>
    <cellStyle name="Comma 4 4 2 2 8" xfId="2786" xr:uid="{00000000-0005-0000-0000-0000E3090000}"/>
    <cellStyle name="Comma 4 4 2 2 8 2" xfId="7009" xr:uid="{00000000-0005-0000-0000-0000E4090000}"/>
    <cellStyle name="Comma 4 4 2 2 8 2 2" xfId="15459" xr:uid="{B73E97AD-5BC4-4A91-8D6E-67D58BE025C5}"/>
    <cellStyle name="Comma 4 4 2 2 8 2 3" xfId="23906" xr:uid="{34FFF350-D90F-437A-ABF0-F788D5B6C4A0}"/>
    <cellStyle name="Comma 4 4 2 2 8 3" xfId="11241" xr:uid="{06A2E278-E480-4D20-8312-D324C87DE540}"/>
    <cellStyle name="Comma 4 4 2 2 8 4" xfId="19689" xr:uid="{9155E3A7-06C6-4970-B89A-C67D84B923DC}"/>
    <cellStyle name="Comma 4 4 2 2 9" xfId="4626" xr:uid="{00000000-0005-0000-0000-0000E5090000}"/>
    <cellStyle name="Comma 4 4 2 2 9 2" xfId="13076" xr:uid="{201EB25C-1F45-4088-B4F3-0278194376F6}"/>
    <cellStyle name="Comma 4 4 2 2 9 3" xfId="21523" xr:uid="{1F277EA5-0DDD-42E7-AC77-26EFA9D50932}"/>
    <cellStyle name="Comma 4 4 2 3" xfId="691" xr:uid="{00000000-0005-0000-0000-0000E6090000}"/>
    <cellStyle name="Comma 4 4 2 3 2" xfId="2962" xr:uid="{00000000-0005-0000-0000-0000E7090000}"/>
    <cellStyle name="Comma 4 4 2 3 2 2" xfId="7184" xr:uid="{00000000-0005-0000-0000-0000E8090000}"/>
    <cellStyle name="Comma 4 4 2 3 2 2 2" xfId="15634" xr:uid="{197E9C74-5BBF-4F4C-BC2E-C864EC296E14}"/>
    <cellStyle name="Comma 4 4 2 3 2 2 3" xfId="24081" xr:uid="{8A7B3FCE-53DE-4B13-A79F-22030307D6B7}"/>
    <cellStyle name="Comma 4 4 2 3 2 3" xfId="11416" xr:uid="{F83CEB72-6926-4C57-BC31-208AE2AA701B}"/>
    <cellStyle name="Comma 4 4 2 3 2 4" xfId="19864" xr:uid="{ADF9567B-D0B6-497F-A2F8-64EE63B10686}"/>
    <cellStyle name="Comma 4 4 2 3 3" xfId="5039" xr:uid="{00000000-0005-0000-0000-0000E9090000}"/>
    <cellStyle name="Comma 4 4 2 3 3 2" xfId="13489" xr:uid="{F9A0ABE8-98EB-4AEB-A968-9EEA532E653F}"/>
    <cellStyle name="Comma 4 4 2 3 3 3" xfId="21936" xr:uid="{4AF64670-E68C-429C-89A8-7B7D19DEBAF1}"/>
    <cellStyle name="Comma 4 4 2 3 4" xfId="9271" xr:uid="{0D33A571-566A-40A3-8F08-B26E9932B8A3}"/>
    <cellStyle name="Comma 4 4 2 3 5" xfId="17719" xr:uid="{9FDE0DAD-B1D5-429E-B1E8-43E9E79C5259}"/>
    <cellStyle name="Comma 4 4 2 4" xfId="1144" xr:uid="{00000000-0005-0000-0000-0000EA090000}"/>
    <cellStyle name="Comma 4 4 2 4 2" xfId="3375" xr:uid="{00000000-0005-0000-0000-0000EB090000}"/>
    <cellStyle name="Comma 4 4 2 4 2 2" xfId="7597" xr:uid="{00000000-0005-0000-0000-0000EC090000}"/>
    <cellStyle name="Comma 4 4 2 4 2 2 2" xfId="16047" xr:uid="{9405CA9A-4F11-4BE1-A5AA-F545635019E4}"/>
    <cellStyle name="Comma 4 4 2 4 2 2 3" xfId="24494" xr:uid="{09AD0B96-BCDE-4DA4-990A-012B6361AA53}"/>
    <cellStyle name="Comma 4 4 2 4 2 3" xfId="11829" xr:uid="{FF680BE9-19A6-4204-92EC-E248D39D43AF}"/>
    <cellStyle name="Comma 4 4 2 4 2 4" xfId="20277" xr:uid="{F1BF4A55-17C6-444D-906D-605A10C9E4AD}"/>
    <cellStyle name="Comma 4 4 2 4 3" xfId="5452" xr:uid="{00000000-0005-0000-0000-0000ED090000}"/>
    <cellStyle name="Comma 4 4 2 4 3 2" xfId="13902" xr:uid="{0212F667-2FF9-4951-9C08-690FF9F5E137}"/>
    <cellStyle name="Comma 4 4 2 4 3 3" xfId="22349" xr:uid="{9E026A2F-4B8D-4B81-B497-C536B40E3271}"/>
    <cellStyle name="Comma 4 4 2 4 4" xfId="9684" xr:uid="{431029C5-930C-4939-94E6-B57B9D96A060}"/>
    <cellStyle name="Comma 4 4 2 4 5" xfId="18132" xr:uid="{46E650A5-9C6B-4561-97DE-35B4E1298C36}"/>
    <cellStyle name="Comma 4 4 2 5" xfId="1558" xr:uid="{00000000-0005-0000-0000-0000EE090000}"/>
    <cellStyle name="Comma 4 4 2 5 2" xfId="3788" xr:uid="{00000000-0005-0000-0000-0000EF090000}"/>
    <cellStyle name="Comma 4 4 2 5 2 2" xfId="8010" xr:uid="{00000000-0005-0000-0000-0000F0090000}"/>
    <cellStyle name="Comma 4 4 2 5 2 2 2" xfId="16460" xr:uid="{866D59B1-BAAC-44D8-9502-6DFDD7FCD2A6}"/>
    <cellStyle name="Comma 4 4 2 5 2 2 3" xfId="24907" xr:uid="{AD840FE1-3090-4F7F-BB79-D063631A773D}"/>
    <cellStyle name="Comma 4 4 2 5 2 3" xfId="12242" xr:uid="{AC2DA41B-91C3-4030-8486-8338AA4F7A81}"/>
    <cellStyle name="Comma 4 4 2 5 2 4" xfId="20690" xr:uid="{8C637DF1-6E48-4B2B-BB67-322BAE040C3B}"/>
    <cellStyle name="Comma 4 4 2 5 3" xfId="5865" xr:uid="{00000000-0005-0000-0000-0000F1090000}"/>
    <cellStyle name="Comma 4 4 2 5 3 2" xfId="14315" xr:uid="{DB8418E5-5ED9-4334-81B8-2CE4B1863F63}"/>
    <cellStyle name="Comma 4 4 2 5 3 3" xfId="22762" xr:uid="{85F60640-C124-4289-9097-F93D4AE46EA7}"/>
    <cellStyle name="Comma 4 4 2 5 4" xfId="10097" xr:uid="{261345D2-E90C-44CF-8CFE-E0542DF5389C}"/>
    <cellStyle name="Comma 4 4 2 5 5" xfId="18545" xr:uid="{6BF08BD0-5E2A-4989-9995-784FE763FEE8}"/>
    <cellStyle name="Comma 4 4 2 6" xfId="1972" xr:uid="{00000000-0005-0000-0000-0000F2090000}"/>
    <cellStyle name="Comma 4 4 2 6 2" xfId="4201" xr:uid="{00000000-0005-0000-0000-0000F3090000}"/>
    <cellStyle name="Comma 4 4 2 6 2 2" xfId="8423" xr:uid="{00000000-0005-0000-0000-0000F4090000}"/>
    <cellStyle name="Comma 4 4 2 6 2 2 2" xfId="16873" xr:uid="{F39CA561-4E88-4053-AA1C-CCA40C9CDD29}"/>
    <cellStyle name="Comma 4 4 2 6 2 2 3" xfId="25320" xr:uid="{C3F6C185-5907-4196-B8E1-4FAE49655E3A}"/>
    <cellStyle name="Comma 4 4 2 6 2 3" xfId="12655" xr:uid="{C0CF3C37-12ED-4B73-9A12-039CE53E0E18}"/>
    <cellStyle name="Comma 4 4 2 6 2 4" xfId="21103" xr:uid="{3BA4E4EB-2C74-4C43-A684-8AF336F91F06}"/>
    <cellStyle name="Comma 4 4 2 6 3" xfId="6278" xr:uid="{00000000-0005-0000-0000-0000F5090000}"/>
    <cellStyle name="Comma 4 4 2 6 3 2" xfId="14728" xr:uid="{9EFE4F9A-3414-4BEE-950C-CBA20F15964C}"/>
    <cellStyle name="Comma 4 4 2 6 3 3" xfId="23175" xr:uid="{CA23462C-E1CA-487A-AB7B-0EF43F4DF4A7}"/>
    <cellStyle name="Comma 4 4 2 6 4" xfId="10510" xr:uid="{CDAA148D-73AE-45B9-A132-95355859C7B9}"/>
    <cellStyle name="Comma 4 4 2 6 5" xfId="18958" xr:uid="{BA58B9C5-B3E8-42B7-A25A-58E557E348D8}"/>
    <cellStyle name="Comma 4 4 2 7" xfId="2407" xr:uid="{00000000-0005-0000-0000-0000F6090000}"/>
    <cellStyle name="Comma 4 4 2 7 2" xfId="6691" xr:uid="{00000000-0005-0000-0000-0000F7090000}"/>
    <cellStyle name="Comma 4 4 2 7 2 2" xfId="15141" xr:uid="{A5E0F376-E229-4385-A27E-FB7305C6D5B6}"/>
    <cellStyle name="Comma 4 4 2 7 2 3" xfId="23588" xr:uid="{A971774D-A176-4E12-884F-09B430DE3D21}"/>
    <cellStyle name="Comma 4 4 2 7 3" xfId="10923" xr:uid="{20EE0220-9828-4139-B17F-134B86EA7B3A}"/>
    <cellStyle name="Comma 4 4 2 7 4" xfId="19371" xr:uid="{2BE1A859-317D-41DC-AD61-1763B58413C7}"/>
    <cellStyle name="Comma 4 4 2 8" xfId="2703" xr:uid="{00000000-0005-0000-0000-0000F8090000}"/>
    <cellStyle name="Comma 4 4 2 9" xfId="2785" xr:uid="{00000000-0005-0000-0000-0000F9090000}"/>
    <cellStyle name="Comma 4 4 2 9 2" xfId="7008" xr:uid="{00000000-0005-0000-0000-0000FA090000}"/>
    <cellStyle name="Comma 4 4 2 9 2 2" xfId="15458" xr:uid="{60758B63-0A35-4E63-97D8-E64DF1F8BED2}"/>
    <cellStyle name="Comma 4 4 2 9 2 3" xfId="23905" xr:uid="{689FE5B8-238D-498C-A542-0A2ACA67A67E}"/>
    <cellStyle name="Comma 4 4 2 9 3" xfId="11240" xr:uid="{C16A817E-5305-4AAD-9668-AB1A9FEAD0AA}"/>
    <cellStyle name="Comma 4 4 2 9 4" xfId="19688" xr:uid="{B695B012-4383-4C6A-8906-3CB517BE4C98}"/>
    <cellStyle name="Comma 4 4 3" xfId="156" xr:uid="{00000000-0005-0000-0000-0000FB090000}"/>
    <cellStyle name="Comma 4 4 3 10" xfId="8859" xr:uid="{5DEB2C91-2999-43BF-AC95-B5009D6B85D7}"/>
    <cellStyle name="Comma 4 4 3 11" xfId="17307" xr:uid="{5BA57828-6CBA-48D0-9AEE-D05334692304}"/>
    <cellStyle name="Comma 4 4 3 2" xfId="693" xr:uid="{00000000-0005-0000-0000-0000FC090000}"/>
    <cellStyle name="Comma 4 4 3 2 2" xfId="2964" xr:uid="{00000000-0005-0000-0000-0000FD090000}"/>
    <cellStyle name="Comma 4 4 3 2 2 2" xfId="7186" xr:uid="{00000000-0005-0000-0000-0000FE090000}"/>
    <cellStyle name="Comma 4 4 3 2 2 2 2" xfId="15636" xr:uid="{EE5A1EB3-4ABC-453E-B871-FB6493E73795}"/>
    <cellStyle name="Comma 4 4 3 2 2 2 3" xfId="24083" xr:uid="{3C7FDDA0-759A-411E-9D94-8F49AB25BC3C}"/>
    <cellStyle name="Comma 4 4 3 2 2 3" xfId="11418" xr:uid="{6CECE2B0-0894-4DEF-96C5-F3AEA339A425}"/>
    <cellStyle name="Comma 4 4 3 2 2 4" xfId="19866" xr:uid="{25133B58-4B25-4399-8938-5D3F3BA922CB}"/>
    <cellStyle name="Comma 4 4 3 2 3" xfId="5041" xr:uid="{00000000-0005-0000-0000-0000FF090000}"/>
    <cellStyle name="Comma 4 4 3 2 3 2" xfId="13491" xr:uid="{2E214FDE-157D-476D-A546-BD0EF763C063}"/>
    <cellStyle name="Comma 4 4 3 2 3 3" xfId="21938" xr:uid="{D627E5D2-2936-4E18-821B-71EEA4F5E447}"/>
    <cellStyle name="Comma 4 4 3 2 4" xfId="9273" xr:uid="{97994C6D-89FD-4A3A-9265-054D750C5FAA}"/>
    <cellStyle name="Comma 4 4 3 2 5" xfId="17721" xr:uid="{464F1ECF-2012-4146-BD7B-D00C57CE0105}"/>
    <cellStyle name="Comma 4 4 3 3" xfId="1146" xr:uid="{00000000-0005-0000-0000-0000000A0000}"/>
    <cellStyle name="Comma 4 4 3 3 2" xfId="3377" xr:uid="{00000000-0005-0000-0000-0000010A0000}"/>
    <cellStyle name="Comma 4 4 3 3 2 2" xfId="7599" xr:uid="{00000000-0005-0000-0000-0000020A0000}"/>
    <cellStyle name="Comma 4 4 3 3 2 2 2" xfId="16049" xr:uid="{D4BA137C-1EC9-4398-BB88-648D557E3EDD}"/>
    <cellStyle name="Comma 4 4 3 3 2 2 3" xfId="24496" xr:uid="{8F8EBBBD-5EB2-4B9D-836D-1FF664AA9B4B}"/>
    <cellStyle name="Comma 4 4 3 3 2 3" xfId="11831" xr:uid="{59104E68-C7B6-4B6B-87C8-577DBF54F25B}"/>
    <cellStyle name="Comma 4 4 3 3 2 4" xfId="20279" xr:uid="{A60114D9-3677-43D8-A2DE-CDA28C491D0B}"/>
    <cellStyle name="Comma 4 4 3 3 3" xfId="5454" xr:uid="{00000000-0005-0000-0000-0000030A0000}"/>
    <cellStyle name="Comma 4 4 3 3 3 2" xfId="13904" xr:uid="{9FF1399F-5993-4996-86DD-AB9DA6BC4A94}"/>
    <cellStyle name="Comma 4 4 3 3 3 3" xfId="22351" xr:uid="{AC0F1C45-9A15-40EA-A956-A0BEB64B4E14}"/>
    <cellStyle name="Comma 4 4 3 3 4" xfId="9686" xr:uid="{AFC299A0-9FDA-4C31-878A-67FC4E59E671}"/>
    <cellStyle name="Comma 4 4 3 3 5" xfId="18134" xr:uid="{6AD81753-B30A-4760-A4AC-BFE56B96FF6D}"/>
    <cellStyle name="Comma 4 4 3 4" xfId="1560" xr:uid="{00000000-0005-0000-0000-0000040A0000}"/>
    <cellStyle name="Comma 4 4 3 4 2" xfId="3790" xr:uid="{00000000-0005-0000-0000-0000050A0000}"/>
    <cellStyle name="Comma 4 4 3 4 2 2" xfId="8012" xr:uid="{00000000-0005-0000-0000-0000060A0000}"/>
    <cellStyle name="Comma 4 4 3 4 2 2 2" xfId="16462" xr:uid="{7E3B895D-F215-4239-98A5-0578B44FC0C6}"/>
    <cellStyle name="Comma 4 4 3 4 2 2 3" xfId="24909" xr:uid="{3694789C-7763-4089-995B-6166E582E948}"/>
    <cellStyle name="Comma 4 4 3 4 2 3" xfId="12244" xr:uid="{44666A65-7B45-4AAE-A782-BA1176DD9765}"/>
    <cellStyle name="Comma 4 4 3 4 2 4" xfId="20692" xr:uid="{3F9032DE-17B6-41FD-BC79-5AE5CF03F876}"/>
    <cellStyle name="Comma 4 4 3 4 3" xfId="5867" xr:uid="{00000000-0005-0000-0000-0000070A0000}"/>
    <cellStyle name="Comma 4 4 3 4 3 2" xfId="14317" xr:uid="{89D42A2A-7419-4C54-BE07-74EFAF4041BA}"/>
    <cellStyle name="Comma 4 4 3 4 3 3" xfId="22764" xr:uid="{255E80B8-7201-4B9D-9B0D-E27CF138ECBB}"/>
    <cellStyle name="Comma 4 4 3 4 4" xfId="10099" xr:uid="{71FA5AD0-B977-4E26-A438-AC8CD444224A}"/>
    <cellStyle name="Comma 4 4 3 4 5" xfId="18547" xr:uid="{ACA68A8A-F6F8-449A-9D67-6FEDF6165785}"/>
    <cellStyle name="Comma 4 4 3 5" xfId="1974" xr:uid="{00000000-0005-0000-0000-0000080A0000}"/>
    <cellStyle name="Comma 4 4 3 5 2" xfId="4203" xr:uid="{00000000-0005-0000-0000-0000090A0000}"/>
    <cellStyle name="Comma 4 4 3 5 2 2" xfId="8425" xr:uid="{00000000-0005-0000-0000-00000A0A0000}"/>
    <cellStyle name="Comma 4 4 3 5 2 2 2" xfId="16875" xr:uid="{76B66239-6C5E-4837-9441-F0D92A894D2F}"/>
    <cellStyle name="Comma 4 4 3 5 2 2 3" xfId="25322" xr:uid="{9B22DF56-88A3-4933-9840-65BB87130D06}"/>
    <cellStyle name="Comma 4 4 3 5 2 3" xfId="12657" xr:uid="{37DDB027-FE1A-4271-B6BD-B021281E92C6}"/>
    <cellStyle name="Comma 4 4 3 5 2 4" xfId="21105" xr:uid="{1DCEC4DB-1AD6-4A59-AA60-75F64CD3B127}"/>
    <cellStyle name="Comma 4 4 3 5 3" xfId="6280" xr:uid="{00000000-0005-0000-0000-00000B0A0000}"/>
    <cellStyle name="Comma 4 4 3 5 3 2" xfId="14730" xr:uid="{CFC56DB8-ABD7-47B9-8ECD-D8833798EB5F}"/>
    <cellStyle name="Comma 4 4 3 5 3 3" xfId="23177" xr:uid="{0927ED1F-2665-4616-B97F-191367786E3B}"/>
    <cellStyle name="Comma 4 4 3 5 4" xfId="10512" xr:uid="{BA068FDB-1819-44FD-AFFC-889B9FA3C084}"/>
    <cellStyle name="Comma 4 4 3 5 5" xfId="18960" xr:uid="{83382B59-2411-4784-B3DA-A327014BB95B}"/>
    <cellStyle name="Comma 4 4 3 6" xfId="2409" xr:uid="{00000000-0005-0000-0000-00000C0A0000}"/>
    <cellStyle name="Comma 4 4 3 6 2" xfId="6693" xr:uid="{00000000-0005-0000-0000-00000D0A0000}"/>
    <cellStyle name="Comma 4 4 3 6 2 2" xfId="15143" xr:uid="{A5EB7789-3C8E-4BE0-BB62-0BD25E6A34DA}"/>
    <cellStyle name="Comma 4 4 3 6 2 3" xfId="23590" xr:uid="{447D195D-A487-48BE-86C4-84E90786B30E}"/>
    <cellStyle name="Comma 4 4 3 6 3" xfId="10925" xr:uid="{A311E950-691C-4C20-977B-B5209ACB85D4}"/>
    <cellStyle name="Comma 4 4 3 6 4" xfId="19373" xr:uid="{D75C36AF-36DD-4811-80D4-BDA78C594E89}"/>
    <cellStyle name="Comma 4 4 3 7" xfId="2705" xr:uid="{00000000-0005-0000-0000-00000E0A0000}"/>
    <cellStyle name="Comma 4 4 3 8" xfId="2787" xr:uid="{00000000-0005-0000-0000-00000F0A0000}"/>
    <cellStyle name="Comma 4 4 3 8 2" xfId="7010" xr:uid="{00000000-0005-0000-0000-0000100A0000}"/>
    <cellStyle name="Comma 4 4 3 8 2 2" xfId="15460" xr:uid="{72BCBD21-AD94-49DA-A4B3-C72C94BF3D32}"/>
    <cellStyle name="Comma 4 4 3 8 2 3" xfId="23907" xr:uid="{8D5AB6BB-E25D-4CAA-B9A2-F4938A0CB033}"/>
    <cellStyle name="Comma 4 4 3 8 3" xfId="11242" xr:uid="{00426E4E-2739-481E-8D70-C289FFB1DDB6}"/>
    <cellStyle name="Comma 4 4 3 8 4" xfId="19690" xr:uid="{3A67570F-7554-4900-AD9B-AB823C0E895E}"/>
    <cellStyle name="Comma 4 4 3 9" xfId="4627" xr:uid="{00000000-0005-0000-0000-0000110A0000}"/>
    <cellStyle name="Comma 4 4 3 9 2" xfId="13077" xr:uid="{F38C37A3-B19B-4380-831C-9CE17306276A}"/>
    <cellStyle name="Comma 4 4 3 9 3" xfId="21524" xr:uid="{57ADF2E9-557A-4F0F-922C-3B3AD25C6740}"/>
    <cellStyle name="Comma 4 4 4" xfId="690" xr:uid="{00000000-0005-0000-0000-0000120A0000}"/>
    <cellStyle name="Comma 4 4 4 2" xfId="2961" xr:uid="{00000000-0005-0000-0000-0000130A0000}"/>
    <cellStyle name="Comma 4 4 4 2 2" xfId="7183" xr:uid="{00000000-0005-0000-0000-0000140A0000}"/>
    <cellStyle name="Comma 4 4 4 2 2 2" xfId="15633" xr:uid="{C2436447-824D-4F22-827C-D761520F2C52}"/>
    <cellStyle name="Comma 4 4 4 2 2 3" xfId="24080" xr:uid="{876254B1-F933-429F-95B8-4AB0BFF8C8ED}"/>
    <cellStyle name="Comma 4 4 4 2 3" xfId="11415" xr:uid="{943B4AE9-DC97-463E-83F5-E760C8FF7528}"/>
    <cellStyle name="Comma 4 4 4 2 4" xfId="19863" xr:uid="{30806225-8055-4F1A-948E-29951245C187}"/>
    <cellStyle name="Comma 4 4 4 3" xfId="5038" xr:uid="{00000000-0005-0000-0000-0000150A0000}"/>
    <cellStyle name="Comma 4 4 4 3 2" xfId="13488" xr:uid="{E93FF721-6BBE-4902-A865-AF785E7BCC22}"/>
    <cellStyle name="Comma 4 4 4 3 3" xfId="21935" xr:uid="{E962ACCC-A1EC-4121-B208-D0BB7FB99962}"/>
    <cellStyle name="Comma 4 4 4 4" xfId="9270" xr:uid="{0C754F4E-96FF-48BC-A0C4-0E7D400F6A14}"/>
    <cellStyle name="Comma 4 4 4 5" xfId="17718" xr:uid="{D15CD90A-5538-409A-91C6-80E89C9E99B0}"/>
    <cellStyle name="Comma 4 4 5" xfId="1143" xr:uid="{00000000-0005-0000-0000-0000160A0000}"/>
    <cellStyle name="Comma 4 4 5 2" xfId="3374" xr:uid="{00000000-0005-0000-0000-0000170A0000}"/>
    <cellStyle name="Comma 4 4 5 2 2" xfId="7596" xr:uid="{00000000-0005-0000-0000-0000180A0000}"/>
    <cellStyle name="Comma 4 4 5 2 2 2" xfId="16046" xr:uid="{6AB2E318-4821-45BB-9A58-B54B58C1CE18}"/>
    <cellStyle name="Comma 4 4 5 2 2 3" xfId="24493" xr:uid="{93C0DDD0-A79B-4691-8F0D-7C370BCCDF49}"/>
    <cellStyle name="Comma 4 4 5 2 3" xfId="11828" xr:uid="{F4D8E721-B1FF-4327-9249-2B433A55C26D}"/>
    <cellStyle name="Comma 4 4 5 2 4" xfId="20276" xr:uid="{CE488648-3C09-4081-859A-F211BB8236C9}"/>
    <cellStyle name="Comma 4 4 5 3" xfId="5451" xr:uid="{00000000-0005-0000-0000-0000190A0000}"/>
    <cellStyle name="Comma 4 4 5 3 2" xfId="13901" xr:uid="{FA8E545D-82FB-4F89-A47D-2221C52E29DE}"/>
    <cellStyle name="Comma 4 4 5 3 3" xfId="22348" xr:uid="{4E6EA587-C9E1-4A0D-8E1C-2A4FC2F67239}"/>
    <cellStyle name="Comma 4 4 5 4" xfId="9683" xr:uid="{D66C4CEE-AA20-48F5-9D19-1FE9CE43184C}"/>
    <cellStyle name="Comma 4 4 5 5" xfId="18131" xr:uid="{835DDA28-E498-421C-BC65-CF747BD67244}"/>
    <cellStyle name="Comma 4 4 6" xfId="1557" xr:uid="{00000000-0005-0000-0000-00001A0A0000}"/>
    <cellStyle name="Comma 4 4 6 2" xfId="3787" xr:uid="{00000000-0005-0000-0000-00001B0A0000}"/>
    <cellStyle name="Comma 4 4 6 2 2" xfId="8009" xr:uid="{00000000-0005-0000-0000-00001C0A0000}"/>
    <cellStyle name="Comma 4 4 6 2 2 2" xfId="16459" xr:uid="{75F8D688-E1FB-4194-BFDA-37E511671686}"/>
    <cellStyle name="Comma 4 4 6 2 2 3" xfId="24906" xr:uid="{48C68A63-2345-434A-A3EF-2567E9FB327A}"/>
    <cellStyle name="Comma 4 4 6 2 3" xfId="12241" xr:uid="{328F104E-3181-463F-B44A-69284A553C4B}"/>
    <cellStyle name="Comma 4 4 6 2 4" xfId="20689" xr:uid="{8B6B39DA-27F2-437F-AA29-FBC901874BCC}"/>
    <cellStyle name="Comma 4 4 6 3" xfId="5864" xr:uid="{00000000-0005-0000-0000-00001D0A0000}"/>
    <cellStyle name="Comma 4 4 6 3 2" xfId="14314" xr:uid="{3015DBC6-4F83-4FD7-BF8E-9652B1EAF93A}"/>
    <cellStyle name="Comma 4 4 6 3 3" xfId="22761" xr:uid="{4BE35AD9-CFCD-4BEA-A39F-97886279FAEB}"/>
    <cellStyle name="Comma 4 4 6 4" xfId="10096" xr:uid="{9C220EBA-239C-45B0-B0B2-C0ADD5AB44D3}"/>
    <cellStyle name="Comma 4 4 6 5" xfId="18544" xr:uid="{F1F8AB3E-23CE-4754-BBA5-BCE5B5B04AEA}"/>
    <cellStyle name="Comma 4 4 7" xfId="1971" xr:uid="{00000000-0005-0000-0000-00001E0A0000}"/>
    <cellStyle name="Comma 4 4 7 2" xfId="4200" xr:uid="{00000000-0005-0000-0000-00001F0A0000}"/>
    <cellStyle name="Comma 4 4 7 2 2" xfId="8422" xr:uid="{00000000-0005-0000-0000-0000200A0000}"/>
    <cellStyle name="Comma 4 4 7 2 2 2" xfId="16872" xr:uid="{4E7818BD-AC26-49A8-94D5-0C80B12DFCDF}"/>
    <cellStyle name="Comma 4 4 7 2 2 3" xfId="25319" xr:uid="{F40E700D-3676-45CE-96A3-761BEB82AFDD}"/>
    <cellStyle name="Comma 4 4 7 2 3" xfId="12654" xr:uid="{B31B1529-34CD-41C9-92FC-1D8B05BC3943}"/>
    <cellStyle name="Comma 4 4 7 2 4" xfId="21102" xr:uid="{DDAFE472-9666-4119-973B-C3CD2F0D39D2}"/>
    <cellStyle name="Comma 4 4 7 3" xfId="6277" xr:uid="{00000000-0005-0000-0000-0000210A0000}"/>
    <cellStyle name="Comma 4 4 7 3 2" xfId="14727" xr:uid="{725E63B5-4C88-4464-A2F1-6CB2B6C0DAA9}"/>
    <cellStyle name="Comma 4 4 7 3 3" xfId="23174" xr:uid="{04E996FD-CF31-4D20-A157-B6523D240897}"/>
    <cellStyle name="Comma 4 4 7 4" xfId="10509" xr:uid="{4DAF0732-2D29-4D65-B74B-F13634678057}"/>
    <cellStyle name="Comma 4 4 7 5" xfId="18957" xr:uid="{F20DC72A-38C4-4517-80C9-CFD146A058EC}"/>
    <cellStyle name="Comma 4 4 8" xfId="2406" xr:uid="{00000000-0005-0000-0000-0000220A0000}"/>
    <cellStyle name="Comma 4 4 8 2" xfId="6690" xr:uid="{00000000-0005-0000-0000-0000230A0000}"/>
    <cellStyle name="Comma 4 4 8 2 2" xfId="15140" xr:uid="{F21E75DA-D8FE-4914-847E-B2074C0D4A74}"/>
    <cellStyle name="Comma 4 4 8 2 3" xfId="23587" xr:uid="{8CB0CEDC-AB59-4377-8B67-915EE4873C18}"/>
    <cellStyle name="Comma 4 4 8 3" xfId="10922" xr:uid="{83121C6D-1F30-4448-9913-6E2014E0CF2B}"/>
    <cellStyle name="Comma 4 4 8 4" xfId="19370" xr:uid="{05578E6D-ADE5-431E-9773-EA733F543CF2}"/>
    <cellStyle name="Comma 4 4 9" xfId="2702" xr:uid="{00000000-0005-0000-0000-0000240A0000}"/>
    <cellStyle name="Comma 4 5" xfId="157" xr:uid="{00000000-0005-0000-0000-0000250A0000}"/>
    <cellStyle name="Comma 4 5 10" xfId="4628" xr:uid="{00000000-0005-0000-0000-0000260A0000}"/>
    <cellStyle name="Comma 4 5 10 2" xfId="13078" xr:uid="{62516664-D56B-4723-B5DB-7DD4D958A2C6}"/>
    <cellStyle name="Comma 4 5 10 3" xfId="21525" xr:uid="{392D0691-89A1-4F02-BBFC-855C3EE94800}"/>
    <cellStyle name="Comma 4 5 11" xfId="8860" xr:uid="{3C0FFBC1-83D6-458F-A5E2-D54ED1175660}"/>
    <cellStyle name="Comma 4 5 12" xfId="17308" xr:uid="{A8A6AF3B-16B0-46D6-B069-63438D9AFE62}"/>
    <cellStyle name="Comma 4 5 2" xfId="158" xr:uid="{00000000-0005-0000-0000-0000270A0000}"/>
    <cellStyle name="Comma 4 5 2 10" xfId="8861" xr:uid="{C328062B-9051-426A-BAE1-11319C85F228}"/>
    <cellStyle name="Comma 4 5 2 11" xfId="17309" xr:uid="{5EB679F3-04AA-4D42-BFC8-6327E74BC43A}"/>
    <cellStyle name="Comma 4 5 2 2" xfId="695" xr:uid="{00000000-0005-0000-0000-0000280A0000}"/>
    <cellStyle name="Comma 4 5 2 2 2" xfId="2966" xr:uid="{00000000-0005-0000-0000-0000290A0000}"/>
    <cellStyle name="Comma 4 5 2 2 2 2" xfId="7188" xr:uid="{00000000-0005-0000-0000-00002A0A0000}"/>
    <cellStyle name="Comma 4 5 2 2 2 2 2" xfId="15638" xr:uid="{549673A6-F581-45B8-897E-9FFA03923F64}"/>
    <cellStyle name="Comma 4 5 2 2 2 2 3" xfId="24085" xr:uid="{84E1C74D-1230-4C4F-A4D2-09AB760EFD19}"/>
    <cellStyle name="Comma 4 5 2 2 2 3" xfId="11420" xr:uid="{CB3B85A1-2CE5-48E6-AF7F-7B15E181C6EF}"/>
    <cellStyle name="Comma 4 5 2 2 2 4" xfId="19868" xr:uid="{1BF630CF-4769-4186-9F0F-823A1A3B3128}"/>
    <cellStyle name="Comma 4 5 2 2 3" xfId="5043" xr:uid="{00000000-0005-0000-0000-00002B0A0000}"/>
    <cellStyle name="Comma 4 5 2 2 3 2" xfId="13493" xr:uid="{1F379959-6514-4583-B94E-A2B1D2EFF9AF}"/>
    <cellStyle name="Comma 4 5 2 2 3 3" xfId="21940" xr:uid="{63C2F69B-6D72-4071-B46B-A04513BC420B}"/>
    <cellStyle name="Comma 4 5 2 2 4" xfId="9275" xr:uid="{6FB473A9-12B2-4917-B745-F81E722AB1B5}"/>
    <cellStyle name="Comma 4 5 2 2 5" xfId="17723" xr:uid="{75BC0299-862C-423A-8239-0920B094A104}"/>
    <cellStyle name="Comma 4 5 2 3" xfId="1148" xr:uid="{00000000-0005-0000-0000-00002C0A0000}"/>
    <cellStyle name="Comma 4 5 2 3 2" xfId="3379" xr:uid="{00000000-0005-0000-0000-00002D0A0000}"/>
    <cellStyle name="Comma 4 5 2 3 2 2" xfId="7601" xr:uid="{00000000-0005-0000-0000-00002E0A0000}"/>
    <cellStyle name="Comma 4 5 2 3 2 2 2" xfId="16051" xr:uid="{2F719D1C-17E0-466A-8574-267F9774CE18}"/>
    <cellStyle name="Comma 4 5 2 3 2 2 3" xfId="24498" xr:uid="{352444F5-3027-41C4-8F59-26A180DB25F5}"/>
    <cellStyle name="Comma 4 5 2 3 2 3" xfId="11833" xr:uid="{41C5F9F5-09CF-4F9F-BA67-2F36E24E957C}"/>
    <cellStyle name="Comma 4 5 2 3 2 4" xfId="20281" xr:uid="{0F5179C5-89D6-41B3-A6C8-0C07127D17DA}"/>
    <cellStyle name="Comma 4 5 2 3 3" xfId="5456" xr:uid="{00000000-0005-0000-0000-00002F0A0000}"/>
    <cellStyle name="Comma 4 5 2 3 3 2" xfId="13906" xr:uid="{A4EF1336-14B3-4013-A705-9FE509FD9FAB}"/>
    <cellStyle name="Comma 4 5 2 3 3 3" xfId="22353" xr:uid="{91AD8921-95B2-44FC-9BC4-23C4EC26E962}"/>
    <cellStyle name="Comma 4 5 2 3 4" xfId="9688" xr:uid="{26383D4A-0E83-44E0-9BE0-8D26671B220E}"/>
    <cellStyle name="Comma 4 5 2 3 5" xfId="18136" xr:uid="{4EF9EE15-BA7F-4695-9414-18D11B7BBFB8}"/>
    <cellStyle name="Comma 4 5 2 4" xfId="1562" xr:uid="{00000000-0005-0000-0000-0000300A0000}"/>
    <cellStyle name="Comma 4 5 2 4 2" xfId="3792" xr:uid="{00000000-0005-0000-0000-0000310A0000}"/>
    <cellStyle name="Comma 4 5 2 4 2 2" xfId="8014" xr:uid="{00000000-0005-0000-0000-0000320A0000}"/>
    <cellStyle name="Comma 4 5 2 4 2 2 2" xfId="16464" xr:uid="{EF84BA14-8D27-49A1-87BA-6A1D369C9D48}"/>
    <cellStyle name="Comma 4 5 2 4 2 2 3" xfId="24911" xr:uid="{2FFE5359-52C3-486A-A2B4-41859019D22D}"/>
    <cellStyle name="Comma 4 5 2 4 2 3" xfId="12246" xr:uid="{674A4991-8A0F-4A07-A597-A174CB7F6007}"/>
    <cellStyle name="Comma 4 5 2 4 2 4" xfId="20694" xr:uid="{591F1065-45B2-465C-AA93-C24A69CEF7D4}"/>
    <cellStyle name="Comma 4 5 2 4 3" xfId="5869" xr:uid="{00000000-0005-0000-0000-0000330A0000}"/>
    <cellStyle name="Comma 4 5 2 4 3 2" xfId="14319" xr:uid="{B31AFAB7-7120-49DE-9372-32B328A43FFB}"/>
    <cellStyle name="Comma 4 5 2 4 3 3" xfId="22766" xr:uid="{91F08FEE-4E73-4387-8F1A-5D28436A4F2B}"/>
    <cellStyle name="Comma 4 5 2 4 4" xfId="10101" xr:uid="{451CA228-5725-4AFC-9815-AD709C706A97}"/>
    <cellStyle name="Comma 4 5 2 4 5" xfId="18549" xr:uid="{61BD184F-C6E9-461C-B1CE-5E0CF1F4C592}"/>
    <cellStyle name="Comma 4 5 2 5" xfId="1976" xr:uid="{00000000-0005-0000-0000-0000340A0000}"/>
    <cellStyle name="Comma 4 5 2 5 2" xfId="4205" xr:uid="{00000000-0005-0000-0000-0000350A0000}"/>
    <cellStyle name="Comma 4 5 2 5 2 2" xfId="8427" xr:uid="{00000000-0005-0000-0000-0000360A0000}"/>
    <cellStyle name="Comma 4 5 2 5 2 2 2" xfId="16877" xr:uid="{25BE377F-DBC8-4287-B5F1-19931AF881C8}"/>
    <cellStyle name="Comma 4 5 2 5 2 2 3" xfId="25324" xr:uid="{A1F785CE-DA07-4D6B-AC3D-667D8092131D}"/>
    <cellStyle name="Comma 4 5 2 5 2 3" xfId="12659" xr:uid="{469638A8-2EBE-49AC-94DA-4C24CC0CB4BD}"/>
    <cellStyle name="Comma 4 5 2 5 2 4" xfId="21107" xr:uid="{C9383D9F-B84C-4FAF-8136-DFCCCED3B339}"/>
    <cellStyle name="Comma 4 5 2 5 3" xfId="6282" xr:uid="{00000000-0005-0000-0000-0000370A0000}"/>
    <cellStyle name="Comma 4 5 2 5 3 2" xfId="14732" xr:uid="{054DFB09-A473-4457-8A78-CF4D5DFB1A5A}"/>
    <cellStyle name="Comma 4 5 2 5 3 3" xfId="23179" xr:uid="{B671F480-BDE3-42D9-8F36-AAE4CA270C75}"/>
    <cellStyle name="Comma 4 5 2 5 4" xfId="10514" xr:uid="{E22B3FC1-EF77-486B-B691-2F330B72A562}"/>
    <cellStyle name="Comma 4 5 2 5 5" xfId="18962" xr:uid="{3158C497-AB6A-40EB-8E8A-BBE8A210A8CF}"/>
    <cellStyle name="Comma 4 5 2 6" xfId="2411" xr:uid="{00000000-0005-0000-0000-0000380A0000}"/>
    <cellStyle name="Comma 4 5 2 6 2" xfId="6695" xr:uid="{00000000-0005-0000-0000-0000390A0000}"/>
    <cellStyle name="Comma 4 5 2 6 2 2" xfId="15145" xr:uid="{01B6FEF2-E891-43CF-A2F2-97A49BFB8249}"/>
    <cellStyle name="Comma 4 5 2 6 2 3" xfId="23592" xr:uid="{25C4C3EC-D17D-4874-8BBA-A3CD3D3C2FF3}"/>
    <cellStyle name="Comma 4 5 2 6 3" xfId="10927" xr:uid="{E65DA33E-1BC7-47FD-BB7F-3DA6F71A8E89}"/>
    <cellStyle name="Comma 4 5 2 6 4" xfId="19375" xr:uid="{F2507062-F389-432D-9D19-C3583D86204F}"/>
    <cellStyle name="Comma 4 5 2 7" xfId="2707" xr:uid="{00000000-0005-0000-0000-00003A0A0000}"/>
    <cellStyle name="Comma 4 5 2 8" xfId="2789" xr:uid="{00000000-0005-0000-0000-00003B0A0000}"/>
    <cellStyle name="Comma 4 5 2 8 2" xfId="7012" xr:uid="{00000000-0005-0000-0000-00003C0A0000}"/>
    <cellStyle name="Comma 4 5 2 8 2 2" xfId="15462" xr:uid="{BF11EDA7-B9E6-4A41-9649-983D0FF9D130}"/>
    <cellStyle name="Comma 4 5 2 8 2 3" xfId="23909" xr:uid="{56B387C6-4F7C-425F-98BE-2B799A9D0B09}"/>
    <cellStyle name="Comma 4 5 2 8 3" xfId="11244" xr:uid="{CE844DA7-2624-4B8A-BC88-47E248A26D0D}"/>
    <cellStyle name="Comma 4 5 2 8 4" xfId="19692" xr:uid="{4E8D59D9-6C22-487B-AD06-75F0256B723E}"/>
    <cellStyle name="Comma 4 5 2 9" xfId="4629" xr:uid="{00000000-0005-0000-0000-00003D0A0000}"/>
    <cellStyle name="Comma 4 5 2 9 2" xfId="13079" xr:uid="{C9D3D90C-AC7C-4471-8B25-9F5B5B8AB3F0}"/>
    <cellStyle name="Comma 4 5 2 9 3" xfId="21526" xr:uid="{E4B38895-F513-4423-906E-A8F54C888122}"/>
    <cellStyle name="Comma 4 5 3" xfId="694" xr:uid="{00000000-0005-0000-0000-00003E0A0000}"/>
    <cellStyle name="Comma 4 5 3 2" xfId="2965" xr:uid="{00000000-0005-0000-0000-00003F0A0000}"/>
    <cellStyle name="Comma 4 5 3 2 2" xfId="7187" xr:uid="{00000000-0005-0000-0000-0000400A0000}"/>
    <cellStyle name="Comma 4 5 3 2 2 2" xfId="15637" xr:uid="{52941A4B-BC1D-4158-BF60-BBAE58DE4514}"/>
    <cellStyle name="Comma 4 5 3 2 2 3" xfId="24084" xr:uid="{9A80A9A5-383C-4B51-B12B-2E357734268A}"/>
    <cellStyle name="Comma 4 5 3 2 3" xfId="11419" xr:uid="{41813F88-BBB2-4C10-81C1-D27D6F388C7C}"/>
    <cellStyle name="Comma 4 5 3 2 4" xfId="19867" xr:uid="{D9C5D464-8D0D-441A-B76F-6043CBF07800}"/>
    <cellStyle name="Comma 4 5 3 3" xfId="5042" xr:uid="{00000000-0005-0000-0000-0000410A0000}"/>
    <cellStyle name="Comma 4 5 3 3 2" xfId="13492" xr:uid="{B7113725-B7C3-4725-91E8-0383E93C5C66}"/>
    <cellStyle name="Comma 4 5 3 3 3" xfId="21939" xr:uid="{DDB72CB4-B3A3-4BEE-A298-ED6CBEEA4BF8}"/>
    <cellStyle name="Comma 4 5 3 4" xfId="9274" xr:uid="{42908A9E-703E-45F4-82CF-F51D706525BE}"/>
    <cellStyle name="Comma 4 5 3 5" xfId="17722" xr:uid="{155A906B-4492-486A-A8E9-DD1BCDBFC682}"/>
    <cellStyle name="Comma 4 5 4" xfId="1147" xr:uid="{00000000-0005-0000-0000-0000420A0000}"/>
    <cellStyle name="Comma 4 5 4 2" xfId="3378" xr:uid="{00000000-0005-0000-0000-0000430A0000}"/>
    <cellStyle name="Comma 4 5 4 2 2" xfId="7600" xr:uid="{00000000-0005-0000-0000-0000440A0000}"/>
    <cellStyle name="Comma 4 5 4 2 2 2" xfId="16050" xr:uid="{80359235-0C4D-45A7-9D59-FA16315C006A}"/>
    <cellStyle name="Comma 4 5 4 2 2 3" xfId="24497" xr:uid="{99F8B32F-A633-40B0-B49C-64496C82F5AB}"/>
    <cellStyle name="Comma 4 5 4 2 3" xfId="11832" xr:uid="{2B3574EB-FD37-426D-BAE1-DD8D05907951}"/>
    <cellStyle name="Comma 4 5 4 2 4" xfId="20280" xr:uid="{C978229F-E5B6-48DC-AB0F-30592FA487C6}"/>
    <cellStyle name="Comma 4 5 4 3" xfId="5455" xr:uid="{00000000-0005-0000-0000-0000450A0000}"/>
    <cellStyle name="Comma 4 5 4 3 2" xfId="13905" xr:uid="{F612D0B5-7207-4A8E-A6D9-DD26660411CB}"/>
    <cellStyle name="Comma 4 5 4 3 3" xfId="22352" xr:uid="{12B99D94-0EE5-4A37-BFD9-6E8851210AD1}"/>
    <cellStyle name="Comma 4 5 4 4" xfId="9687" xr:uid="{56DA008C-A608-4E64-A3D1-C1ECBBB60E69}"/>
    <cellStyle name="Comma 4 5 4 5" xfId="18135" xr:uid="{ED2A2E38-FEF0-4FB0-B1EF-181F9BF2B3B4}"/>
    <cellStyle name="Comma 4 5 5" xfId="1561" xr:uid="{00000000-0005-0000-0000-0000460A0000}"/>
    <cellStyle name="Comma 4 5 5 2" xfId="3791" xr:uid="{00000000-0005-0000-0000-0000470A0000}"/>
    <cellStyle name="Comma 4 5 5 2 2" xfId="8013" xr:uid="{00000000-0005-0000-0000-0000480A0000}"/>
    <cellStyle name="Comma 4 5 5 2 2 2" xfId="16463" xr:uid="{74774F95-870B-42E7-BAD1-90461364084E}"/>
    <cellStyle name="Comma 4 5 5 2 2 3" xfId="24910" xr:uid="{A545559B-F142-4A1C-9FB1-DD458FD2E8FB}"/>
    <cellStyle name="Comma 4 5 5 2 3" xfId="12245" xr:uid="{3F482A9B-E1FE-4D16-8DE2-C3863DD2B958}"/>
    <cellStyle name="Comma 4 5 5 2 4" xfId="20693" xr:uid="{0FC52B12-7308-4DD0-8AAB-A6348DD26C52}"/>
    <cellStyle name="Comma 4 5 5 3" xfId="5868" xr:uid="{00000000-0005-0000-0000-0000490A0000}"/>
    <cellStyle name="Comma 4 5 5 3 2" xfId="14318" xr:uid="{7FC26660-217A-4D5F-9BCE-8B778658ED3B}"/>
    <cellStyle name="Comma 4 5 5 3 3" xfId="22765" xr:uid="{D34C452F-B87B-4A1D-A8CB-C1E0C19CBB0F}"/>
    <cellStyle name="Comma 4 5 5 4" xfId="10100" xr:uid="{41481CD8-B189-44BA-94BF-74F5AF581F82}"/>
    <cellStyle name="Comma 4 5 5 5" xfId="18548" xr:uid="{6C0F1C5E-E74A-4DE8-97F1-B0F2477DA7A3}"/>
    <cellStyle name="Comma 4 5 6" xfId="1975" xr:uid="{00000000-0005-0000-0000-00004A0A0000}"/>
    <cellStyle name="Comma 4 5 6 2" xfId="4204" xr:uid="{00000000-0005-0000-0000-00004B0A0000}"/>
    <cellStyle name="Comma 4 5 6 2 2" xfId="8426" xr:uid="{00000000-0005-0000-0000-00004C0A0000}"/>
    <cellStyle name="Comma 4 5 6 2 2 2" xfId="16876" xr:uid="{FF372490-2830-43FF-A74D-8129409CA797}"/>
    <cellStyle name="Comma 4 5 6 2 2 3" xfId="25323" xr:uid="{E96E4E63-0256-4A6C-B84A-C74AEFC8283F}"/>
    <cellStyle name="Comma 4 5 6 2 3" xfId="12658" xr:uid="{E3371AA5-AAA7-4096-9CF3-31CC78128F0D}"/>
    <cellStyle name="Comma 4 5 6 2 4" xfId="21106" xr:uid="{BDC63CEA-5306-40F2-A38D-005B052A8AED}"/>
    <cellStyle name="Comma 4 5 6 3" xfId="6281" xr:uid="{00000000-0005-0000-0000-00004D0A0000}"/>
    <cellStyle name="Comma 4 5 6 3 2" xfId="14731" xr:uid="{03BDBE3E-27F0-4097-A6C3-9D7DCD80ACBD}"/>
    <cellStyle name="Comma 4 5 6 3 3" xfId="23178" xr:uid="{82FC4712-6446-481F-80BA-8CD429CD4509}"/>
    <cellStyle name="Comma 4 5 6 4" xfId="10513" xr:uid="{1EA30C6A-443C-465A-BA77-DE303EED9D85}"/>
    <cellStyle name="Comma 4 5 6 5" xfId="18961" xr:uid="{DCE5C815-CFEB-4D45-BC90-89FBA1F1EFEB}"/>
    <cellStyle name="Comma 4 5 7" xfId="2410" xr:uid="{00000000-0005-0000-0000-00004E0A0000}"/>
    <cellStyle name="Comma 4 5 7 2" xfId="6694" xr:uid="{00000000-0005-0000-0000-00004F0A0000}"/>
    <cellStyle name="Comma 4 5 7 2 2" xfId="15144" xr:uid="{0E36FD1D-259D-4C11-BB31-FF021B43494D}"/>
    <cellStyle name="Comma 4 5 7 2 3" xfId="23591" xr:uid="{53B508EB-E1F9-41AE-860E-EDAC03D9A885}"/>
    <cellStyle name="Comma 4 5 7 3" xfId="10926" xr:uid="{CF6E2010-EDAD-4038-897D-96CAE8CDFDD9}"/>
    <cellStyle name="Comma 4 5 7 4" xfId="19374" xr:uid="{201338DF-E0D8-4C65-90CB-61FDE8156334}"/>
    <cellStyle name="Comma 4 5 8" xfId="2706" xr:uid="{00000000-0005-0000-0000-0000500A0000}"/>
    <cellStyle name="Comma 4 5 9" xfId="2788" xr:uid="{00000000-0005-0000-0000-0000510A0000}"/>
    <cellStyle name="Comma 4 5 9 2" xfId="7011" xr:uid="{00000000-0005-0000-0000-0000520A0000}"/>
    <cellStyle name="Comma 4 5 9 2 2" xfId="15461" xr:uid="{13BBB1C4-2D82-467E-B45A-E8CC4F60472F}"/>
    <cellStyle name="Comma 4 5 9 2 3" xfId="23908" xr:uid="{5B94D576-6745-48C6-B114-ACF1F74108A5}"/>
    <cellStyle name="Comma 4 5 9 3" xfId="11243" xr:uid="{DF289026-4835-496C-897D-152AAA18FC5D}"/>
    <cellStyle name="Comma 4 5 9 4" xfId="19691" xr:uid="{5A00B687-B658-4C7C-B6E0-80D5C28F751F}"/>
    <cellStyle name="Comma 4 6" xfId="159" xr:uid="{00000000-0005-0000-0000-0000530A0000}"/>
    <cellStyle name="Comma 4 6 10" xfId="8862" xr:uid="{507E2066-FA9D-4357-8DBA-471F9E02841C}"/>
    <cellStyle name="Comma 4 6 11" xfId="17310" xr:uid="{E185F0EA-CB52-440D-8F6D-8093D70D5EE4}"/>
    <cellStyle name="Comma 4 6 2" xfId="696" xr:uid="{00000000-0005-0000-0000-0000540A0000}"/>
    <cellStyle name="Comma 4 6 2 2" xfId="2967" xr:uid="{00000000-0005-0000-0000-0000550A0000}"/>
    <cellStyle name="Comma 4 6 2 2 2" xfId="7189" xr:uid="{00000000-0005-0000-0000-0000560A0000}"/>
    <cellStyle name="Comma 4 6 2 2 2 2" xfId="15639" xr:uid="{6F785C6D-AE65-4314-B376-954D0BF63330}"/>
    <cellStyle name="Comma 4 6 2 2 2 3" xfId="24086" xr:uid="{E1E04106-FF1C-4F30-8FD9-B65E02F50176}"/>
    <cellStyle name="Comma 4 6 2 2 3" xfId="11421" xr:uid="{F2AFB919-B56C-405E-9B0A-C2AF1E55D541}"/>
    <cellStyle name="Comma 4 6 2 2 4" xfId="19869" xr:uid="{9C48DEEF-A65F-4926-B525-237EA5337F6C}"/>
    <cellStyle name="Comma 4 6 2 3" xfId="5044" xr:uid="{00000000-0005-0000-0000-0000570A0000}"/>
    <cellStyle name="Comma 4 6 2 3 2" xfId="13494" xr:uid="{D1035702-6F61-4547-B42D-C621CADE1C71}"/>
    <cellStyle name="Comma 4 6 2 3 3" xfId="21941" xr:uid="{7BAE703C-8EC4-4E80-AF5F-D6439BE588DC}"/>
    <cellStyle name="Comma 4 6 2 4" xfId="9276" xr:uid="{699EB29A-D35E-4F08-9415-DC3621EBBD22}"/>
    <cellStyle name="Comma 4 6 2 5" xfId="17724" xr:uid="{CB5E1DD7-4B92-4360-87A9-C81D81FDB9FC}"/>
    <cellStyle name="Comma 4 6 3" xfId="1149" xr:uid="{00000000-0005-0000-0000-0000580A0000}"/>
    <cellStyle name="Comma 4 6 3 2" xfId="3380" xr:uid="{00000000-0005-0000-0000-0000590A0000}"/>
    <cellStyle name="Comma 4 6 3 2 2" xfId="7602" xr:uid="{00000000-0005-0000-0000-00005A0A0000}"/>
    <cellStyle name="Comma 4 6 3 2 2 2" xfId="16052" xr:uid="{60341A54-EF76-481C-87AC-C24ED5A40F16}"/>
    <cellStyle name="Comma 4 6 3 2 2 3" xfId="24499" xr:uid="{788BD62D-75B6-4E39-BC56-473BBD6213C3}"/>
    <cellStyle name="Comma 4 6 3 2 3" xfId="11834" xr:uid="{C31CD1BB-C20D-479D-8222-BB02322CA56D}"/>
    <cellStyle name="Comma 4 6 3 2 4" xfId="20282" xr:uid="{E6C30120-F0B8-4D5F-BB47-3BDE6F50E3E1}"/>
    <cellStyle name="Comma 4 6 3 3" xfId="5457" xr:uid="{00000000-0005-0000-0000-00005B0A0000}"/>
    <cellStyle name="Comma 4 6 3 3 2" xfId="13907" xr:uid="{9D8DF109-000D-478E-84D4-8E2F04414D42}"/>
    <cellStyle name="Comma 4 6 3 3 3" xfId="22354" xr:uid="{61AC63DB-C42D-4355-AFDE-CB432A4DEE20}"/>
    <cellStyle name="Comma 4 6 3 4" xfId="9689" xr:uid="{BC322FAC-F0E4-4C70-A758-62DD7B472281}"/>
    <cellStyle name="Comma 4 6 3 5" xfId="18137" xr:uid="{116739AA-649E-4D0A-BCBD-369B0330D9E2}"/>
    <cellStyle name="Comma 4 6 4" xfId="1563" xr:uid="{00000000-0005-0000-0000-00005C0A0000}"/>
    <cellStyle name="Comma 4 6 4 2" xfId="3793" xr:uid="{00000000-0005-0000-0000-00005D0A0000}"/>
    <cellStyle name="Comma 4 6 4 2 2" xfId="8015" xr:uid="{00000000-0005-0000-0000-00005E0A0000}"/>
    <cellStyle name="Comma 4 6 4 2 2 2" xfId="16465" xr:uid="{22A5AACC-7087-4123-93B6-6ECC62BD7005}"/>
    <cellStyle name="Comma 4 6 4 2 2 3" xfId="24912" xr:uid="{F262B850-C915-45A2-B4B8-B7A824FB6687}"/>
    <cellStyle name="Comma 4 6 4 2 3" xfId="12247" xr:uid="{2CF7FC81-F265-4320-A0B6-4967BFAEA377}"/>
    <cellStyle name="Comma 4 6 4 2 4" xfId="20695" xr:uid="{313FF151-FC4B-4E90-BD6C-B1BC6C7CE117}"/>
    <cellStyle name="Comma 4 6 4 3" xfId="5870" xr:uid="{00000000-0005-0000-0000-00005F0A0000}"/>
    <cellStyle name="Comma 4 6 4 3 2" xfId="14320" xr:uid="{9E7D0C37-179F-4185-AB6C-CCB0025A978A}"/>
    <cellStyle name="Comma 4 6 4 3 3" xfId="22767" xr:uid="{492899D5-8D4B-443B-B43B-D797D6C8FAD0}"/>
    <cellStyle name="Comma 4 6 4 4" xfId="10102" xr:uid="{E63B5609-494E-454F-B01F-2F348D48C67B}"/>
    <cellStyle name="Comma 4 6 4 5" xfId="18550" xr:uid="{8E7D2211-8BAC-4ED4-9F9C-31C0E810DDC6}"/>
    <cellStyle name="Comma 4 6 5" xfId="1977" xr:uid="{00000000-0005-0000-0000-0000600A0000}"/>
    <cellStyle name="Comma 4 6 5 2" xfId="4206" xr:uid="{00000000-0005-0000-0000-0000610A0000}"/>
    <cellStyle name="Comma 4 6 5 2 2" xfId="8428" xr:uid="{00000000-0005-0000-0000-0000620A0000}"/>
    <cellStyle name="Comma 4 6 5 2 2 2" xfId="16878" xr:uid="{F6AA308D-C635-43D9-94A2-C1F29574CF8D}"/>
    <cellStyle name="Comma 4 6 5 2 2 3" xfId="25325" xr:uid="{8BC380C9-FEF7-4177-9A33-7B12E881EF49}"/>
    <cellStyle name="Comma 4 6 5 2 3" xfId="12660" xr:uid="{F306993B-6EE5-4D11-8007-6BF82441B8AC}"/>
    <cellStyle name="Comma 4 6 5 2 4" xfId="21108" xr:uid="{19E4C449-93C5-43E1-80DD-D89A0EAFA007}"/>
    <cellStyle name="Comma 4 6 5 3" xfId="6283" xr:uid="{00000000-0005-0000-0000-0000630A0000}"/>
    <cellStyle name="Comma 4 6 5 3 2" xfId="14733" xr:uid="{848F3F52-7FD7-43FE-A7CA-B238C600F23B}"/>
    <cellStyle name="Comma 4 6 5 3 3" xfId="23180" xr:uid="{BAC10BAC-2F23-4B4F-B224-4B416C2B53B8}"/>
    <cellStyle name="Comma 4 6 5 4" xfId="10515" xr:uid="{D36C22E0-5974-4E8F-99AF-35E952C0CB0C}"/>
    <cellStyle name="Comma 4 6 5 5" xfId="18963" xr:uid="{5BB715C6-FDD2-4F8B-9353-BED894AFA3E5}"/>
    <cellStyle name="Comma 4 6 6" xfId="2412" xr:uid="{00000000-0005-0000-0000-0000640A0000}"/>
    <cellStyle name="Comma 4 6 6 2" xfId="6696" xr:uid="{00000000-0005-0000-0000-0000650A0000}"/>
    <cellStyle name="Comma 4 6 6 2 2" xfId="15146" xr:uid="{8735586E-2A81-4F27-849D-D8199495A68B}"/>
    <cellStyle name="Comma 4 6 6 2 3" xfId="23593" xr:uid="{CEFFCAD5-9AB6-4F2F-96EF-ED22AEDB712A}"/>
    <cellStyle name="Comma 4 6 6 3" xfId="10928" xr:uid="{595820DB-F06A-4B59-B02C-D7A504CEEE16}"/>
    <cellStyle name="Comma 4 6 6 4" xfId="19376" xr:uid="{371B1D77-39A0-4794-8418-A1F85B061238}"/>
    <cellStyle name="Comma 4 6 7" xfId="2708" xr:uid="{00000000-0005-0000-0000-0000660A0000}"/>
    <cellStyle name="Comma 4 6 8" xfId="2790" xr:uid="{00000000-0005-0000-0000-0000670A0000}"/>
    <cellStyle name="Comma 4 6 8 2" xfId="7013" xr:uid="{00000000-0005-0000-0000-0000680A0000}"/>
    <cellStyle name="Comma 4 6 8 2 2" xfId="15463" xr:uid="{3EFCAA6B-5DF7-438D-92C3-D4B61742AD6E}"/>
    <cellStyle name="Comma 4 6 8 2 3" xfId="23910" xr:uid="{C973908E-1530-40B9-910C-D1319DDDF7AC}"/>
    <cellStyle name="Comma 4 6 8 3" xfId="11245" xr:uid="{F76CC580-04D8-48DA-AB9F-BA1E227647E5}"/>
    <cellStyle name="Comma 4 6 8 4" xfId="19693" xr:uid="{30A93D8C-18D3-4F70-9851-B243D456DEA3}"/>
    <cellStyle name="Comma 4 6 9" xfId="4630" xr:uid="{00000000-0005-0000-0000-0000690A0000}"/>
    <cellStyle name="Comma 4 6 9 2" xfId="13080" xr:uid="{D4080858-BABD-4336-9D16-29AA62CA1B95}"/>
    <cellStyle name="Comma 4 6 9 3" xfId="21527" xr:uid="{0F048CE7-3C0E-4274-9D7F-344E10499C19}"/>
    <cellStyle name="Comma 4 7" xfId="160" xr:uid="{00000000-0005-0000-0000-00006A0A0000}"/>
    <cellStyle name="Comma 4 7 10" xfId="8863" xr:uid="{7CE0FCB7-31CF-4E0B-AE88-222D25CFD8F3}"/>
    <cellStyle name="Comma 4 7 11" xfId="17311" xr:uid="{BAD527EF-B814-4FCF-847E-551462A33F1D}"/>
    <cellStyle name="Comma 4 7 2" xfId="697" xr:uid="{00000000-0005-0000-0000-00006B0A0000}"/>
    <cellStyle name="Comma 4 7 2 2" xfId="2968" xr:uid="{00000000-0005-0000-0000-00006C0A0000}"/>
    <cellStyle name="Comma 4 7 2 2 2" xfId="7190" xr:uid="{00000000-0005-0000-0000-00006D0A0000}"/>
    <cellStyle name="Comma 4 7 2 2 2 2" xfId="15640" xr:uid="{F7CFD81B-1230-49FA-8F14-C64477AE4FDC}"/>
    <cellStyle name="Comma 4 7 2 2 2 3" xfId="24087" xr:uid="{3729C376-1386-4F0A-AFA7-609A8D6DDEC5}"/>
    <cellStyle name="Comma 4 7 2 2 3" xfId="11422" xr:uid="{A84A96BE-7E19-421C-BCF1-7D2973A808D9}"/>
    <cellStyle name="Comma 4 7 2 2 4" xfId="19870" xr:uid="{1A89A632-75B6-4428-BF38-86AE5A012CF5}"/>
    <cellStyle name="Comma 4 7 2 3" xfId="5045" xr:uid="{00000000-0005-0000-0000-00006E0A0000}"/>
    <cellStyle name="Comma 4 7 2 3 2" xfId="13495" xr:uid="{3123FDAB-6F1B-4822-9BD1-95FB4254B454}"/>
    <cellStyle name="Comma 4 7 2 3 3" xfId="21942" xr:uid="{B53281E9-ABED-409B-B238-605E09B15240}"/>
    <cellStyle name="Comma 4 7 2 4" xfId="9277" xr:uid="{453BDA53-8D75-4A81-8B9F-14552EE2F9C0}"/>
    <cellStyle name="Comma 4 7 2 5" xfId="17725" xr:uid="{919AAC09-F3C2-42B5-B9F6-A8EC220D8940}"/>
    <cellStyle name="Comma 4 7 3" xfId="1150" xr:uid="{00000000-0005-0000-0000-00006F0A0000}"/>
    <cellStyle name="Comma 4 7 3 2" xfId="3381" xr:uid="{00000000-0005-0000-0000-0000700A0000}"/>
    <cellStyle name="Comma 4 7 3 2 2" xfId="7603" xr:uid="{00000000-0005-0000-0000-0000710A0000}"/>
    <cellStyle name="Comma 4 7 3 2 2 2" xfId="16053" xr:uid="{B40957CF-70C4-441D-BDCA-71892B3BBDF4}"/>
    <cellStyle name="Comma 4 7 3 2 2 3" xfId="24500" xr:uid="{37EACB37-35AC-4717-B1E1-9A3427E77C97}"/>
    <cellStyle name="Comma 4 7 3 2 3" xfId="11835" xr:uid="{D0206527-FA58-47CB-B26E-A05CFB3DD9A6}"/>
    <cellStyle name="Comma 4 7 3 2 4" xfId="20283" xr:uid="{2207A6B8-3E24-4F49-9EEB-C8A257486CE3}"/>
    <cellStyle name="Comma 4 7 3 3" xfId="5458" xr:uid="{00000000-0005-0000-0000-0000720A0000}"/>
    <cellStyle name="Comma 4 7 3 3 2" xfId="13908" xr:uid="{393F0412-F029-4EE4-9BA4-000946BAD197}"/>
    <cellStyle name="Comma 4 7 3 3 3" xfId="22355" xr:uid="{821E8B24-4FB8-4994-AC02-EBB9190C4771}"/>
    <cellStyle name="Comma 4 7 3 4" xfId="9690" xr:uid="{A196F7F0-0168-4E01-887B-F8320FA1E40F}"/>
    <cellStyle name="Comma 4 7 3 5" xfId="18138" xr:uid="{C75BE794-A2DF-4DFE-830C-74ACB5CB477E}"/>
    <cellStyle name="Comma 4 7 4" xfId="1564" xr:uid="{00000000-0005-0000-0000-0000730A0000}"/>
    <cellStyle name="Comma 4 7 4 2" xfId="3794" xr:uid="{00000000-0005-0000-0000-0000740A0000}"/>
    <cellStyle name="Comma 4 7 4 2 2" xfId="8016" xr:uid="{00000000-0005-0000-0000-0000750A0000}"/>
    <cellStyle name="Comma 4 7 4 2 2 2" xfId="16466" xr:uid="{E114FDB4-7B30-4FA1-B86C-CB7001EFB601}"/>
    <cellStyle name="Comma 4 7 4 2 2 3" xfId="24913" xr:uid="{9DB02C72-63EC-45CA-8879-287A9109C75F}"/>
    <cellStyle name="Comma 4 7 4 2 3" xfId="12248" xr:uid="{78A9E35A-CB67-4D28-8409-875A3D6015E5}"/>
    <cellStyle name="Comma 4 7 4 2 4" xfId="20696" xr:uid="{232C525A-5879-40D8-96C9-0B3A055DAC2F}"/>
    <cellStyle name="Comma 4 7 4 3" xfId="5871" xr:uid="{00000000-0005-0000-0000-0000760A0000}"/>
    <cellStyle name="Comma 4 7 4 3 2" xfId="14321" xr:uid="{BDBCD667-8630-4CC8-A362-B27334250336}"/>
    <cellStyle name="Comma 4 7 4 3 3" xfId="22768" xr:uid="{5940AD73-3883-4B9D-A01A-91BE60CB39F3}"/>
    <cellStyle name="Comma 4 7 4 4" xfId="10103" xr:uid="{70108217-DCBA-4270-B598-25F5FAE31C71}"/>
    <cellStyle name="Comma 4 7 4 5" xfId="18551" xr:uid="{9090A5B5-99E9-4B89-9E0E-9C7D438C3DB4}"/>
    <cellStyle name="Comma 4 7 5" xfId="1978" xr:uid="{00000000-0005-0000-0000-0000770A0000}"/>
    <cellStyle name="Comma 4 7 5 2" xfId="4207" xr:uid="{00000000-0005-0000-0000-0000780A0000}"/>
    <cellStyle name="Comma 4 7 5 2 2" xfId="8429" xr:uid="{00000000-0005-0000-0000-0000790A0000}"/>
    <cellStyle name="Comma 4 7 5 2 2 2" xfId="16879" xr:uid="{1AD489B9-A78F-4FFC-A1BC-420402B94DB4}"/>
    <cellStyle name="Comma 4 7 5 2 2 3" xfId="25326" xr:uid="{D3C095B4-06B8-4124-AEB4-929A804B91AC}"/>
    <cellStyle name="Comma 4 7 5 2 3" xfId="12661" xr:uid="{77DEDE26-4814-4E60-941B-4CA15769215C}"/>
    <cellStyle name="Comma 4 7 5 2 4" xfId="21109" xr:uid="{C4B59D99-01AC-4B6E-90EA-DC71989660D2}"/>
    <cellStyle name="Comma 4 7 5 3" xfId="6284" xr:uid="{00000000-0005-0000-0000-00007A0A0000}"/>
    <cellStyle name="Comma 4 7 5 3 2" xfId="14734" xr:uid="{7035F475-95EC-44E5-99BD-949938DC2722}"/>
    <cellStyle name="Comma 4 7 5 3 3" xfId="23181" xr:uid="{9D1A9BF8-1598-4E2C-B7E5-CAB4F7036A2C}"/>
    <cellStyle name="Comma 4 7 5 4" xfId="10516" xr:uid="{A9FD5D94-9DB7-4C86-80AE-7E0B27F4F838}"/>
    <cellStyle name="Comma 4 7 5 5" xfId="18964" xr:uid="{A3C938A5-BB0D-4BEA-9E38-672647ECE5DF}"/>
    <cellStyle name="Comma 4 7 6" xfId="2413" xr:uid="{00000000-0005-0000-0000-00007B0A0000}"/>
    <cellStyle name="Comma 4 7 6 2" xfId="6697" xr:uid="{00000000-0005-0000-0000-00007C0A0000}"/>
    <cellStyle name="Comma 4 7 6 2 2" xfId="15147" xr:uid="{ABCE8E04-424C-4947-B7BC-AB887DCDD373}"/>
    <cellStyle name="Comma 4 7 6 2 3" xfId="23594" xr:uid="{A89D90E0-785B-4FBB-8451-ECE5FEF1061E}"/>
    <cellStyle name="Comma 4 7 6 3" xfId="10929" xr:uid="{8DB68BD7-47C7-48C4-8938-FAB1DA43871F}"/>
    <cellStyle name="Comma 4 7 6 4" xfId="19377" xr:uid="{27F448B0-6902-4242-83FA-0FBB97103816}"/>
    <cellStyle name="Comma 4 7 7" xfId="2709" xr:uid="{00000000-0005-0000-0000-00007D0A0000}"/>
    <cellStyle name="Comma 4 7 8" xfId="2791" xr:uid="{00000000-0005-0000-0000-00007E0A0000}"/>
    <cellStyle name="Comma 4 7 8 2" xfId="7014" xr:uid="{00000000-0005-0000-0000-00007F0A0000}"/>
    <cellStyle name="Comma 4 7 8 2 2" xfId="15464" xr:uid="{A61794A4-8C5F-4D46-A456-936FD8935085}"/>
    <cellStyle name="Comma 4 7 8 2 3" xfId="23911" xr:uid="{5B7D8A9F-214E-4DCF-85F8-FB99819618E9}"/>
    <cellStyle name="Comma 4 7 8 3" xfId="11246" xr:uid="{9E510BE9-912C-43AB-9360-FA81826F5172}"/>
    <cellStyle name="Comma 4 7 8 4" xfId="19694" xr:uid="{3A5479CF-2524-49E2-9407-42A1C56F23DC}"/>
    <cellStyle name="Comma 4 7 9" xfId="4631" xr:uid="{00000000-0005-0000-0000-0000800A0000}"/>
    <cellStyle name="Comma 4 7 9 2" xfId="13081" xr:uid="{0DDEC44A-2579-4814-A26A-F527AF79045C}"/>
    <cellStyle name="Comma 4 7 9 3" xfId="21528" xr:uid="{8D1AE2D6-B4EE-446B-88B5-57FC26A911AA}"/>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9" xr:uid="{CDA13079-CA39-4808-8313-CA26AA58B31E}"/>
    <cellStyle name="Comma 7 3" xfId="21396" xr:uid="{4191716B-F526-47F0-A60D-B3A20ACF119B}"/>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2 2" xfId="17166" xr:uid="{F3EBE264-1E2B-460C-9EEA-40946BEABD95}"/>
    <cellStyle name="Currency 14 2 3" xfId="25613" xr:uid="{A303E0ED-DB1E-4878-8190-EFAEB22DB10B}"/>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14 3 2 2 2 2 2" xfId="17182" xr:uid="{8B64F6AE-2B6D-4774-99D6-E9B9472BF450}"/>
    <cellStyle name="Currency 14 3 2 2 2 2 3" xfId="25629" xr:uid="{C690F925-D16C-4763-9A50-5718107FB984}"/>
    <cellStyle name="Currency 14 3 2 2 2 3" xfId="17179" xr:uid="{4A84B01B-F364-4898-92E4-E9122FBA2EE3}"/>
    <cellStyle name="Currency 14 3 2 2 2 4" xfId="25626" xr:uid="{1050D62D-48FE-4448-A3A1-ADAE5380203E}"/>
    <cellStyle name="Currency 14 3 2 2 3" xfId="17175" xr:uid="{F62E12FC-C9D2-4B94-ACB3-79DF9D869E57}"/>
    <cellStyle name="Currency 14 3 2 2 4" xfId="25622" xr:uid="{BA1ED21C-9374-487F-AB27-583E91E30116}"/>
    <cellStyle name="Currency 14 3 2 3" xfId="17172" xr:uid="{BED9B3E5-9CCD-41A2-A46D-E0F6E9A2EDC0}"/>
    <cellStyle name="Currency 14 3 2 4" xfId="25619" xr:uid="{E8189B91-DBA2-4D93-9937-AFB471036425}"/>
    <cellStyle name="Currency 14 3 3" xfId="17169" xr:uid="{1382763F-5D02-4BCD-8D0E-69414C95D6C0}"/>
    <cellStyle name="Currency 14 3 4" xfId="25616" xr:uid="{25B02E4F-71E6-4BA6-A5D1-25F8CD84B239}"/>
    <cellStyle name="Currency 14 4" xfId="12952" xr:uid="{F3923EBC-9122-472D-A300-D7D907685480}"/>
    <cellStyle name="Currency 14 5" xfId="21399" xr:uid="{4D7BFE35-AFFB-42A5-B6C5-71EA2ED0D722}"/>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0 2 2" xfId="15465" xr:uid="{0573A191-898E-4729-82DE-91F1F93B1BA9}"/>
    <cellStyle name="Currency 3 2 2 10 2 3" xfId="23912" xr:uid="{AF96182D-EE96-4273-A974-D4A7168BC88A}"/>
    <cellStyle name="Currency 3 2 2 10 3" xfId="11247" xr:uid="{DDEA8316-33EE-4017-8AFE-66B32CEDEBAD}"/>
    <cellStyle name="Currency 3 2 2 10 4" xfId="19695" xr:uid="{8299B712-E60E-448D-AD78-E6AC7FFB98C0}"/>
    <cellStyle name="Currency 3 2 2 11" xfId="4632" xr:uid="{00000000-0005-0000-0000-0000A50A0000}"/>
    <cellStyle name="Currency 3 2 2 11 2" xfId="13082" xr:uid="{1BE1E31B-B458-4FD2-8BC0-0B7A49F91AEC}"/>
    <cellStyle name="Currency 3 2 2 11 3" xfId="21529" xr:uid="{F4FEF108-F24B-47B3-9812-666999FABCD9}"/>
    <cellStyle name="Currency 3 2 2 12" xfId="8864" xr:uid="{AC834D38-AF17-486E-8637-6EBAB1887A70}"/>
    <cellStyle name="Currency 3 2 2 13" xfId="17312" xr:uid="{AE7F84FE-5336-4352-9202-14006FE3626C}"/>
    <cellStyle name="Currency 3 2 2 2" xfId="179" xr:uid="{00000000-0005-0000-0000-0000A60A0000}"/>
    <cellStyle name="Currency 3 2 2 2 10" xfId="4633" xr:uid="{00000000-0005-0000-0000-0000A70A0000}"/>
    <cellStyle name="Currency 3 2 2 2 10 2" xfId="13083" xr:uid="{EA7AE3C7-F782-4BAB-AA61-BEA225AC42AA}"/>
    <cellStyle name="Currency 3 2 2 2 10 3" xfId="21530" xr:uid="{ABB0E1DF-2AB0-4B02-8F0A-BF1159EFC55F}"/>
    <cellStyle name="Currency 3 2 2 2 11" xfId="8865" xr:uid="{60AE8B0A-5CF0-4524-8A9C-342533E612B6}"/>
    <cellStyle name="Currency 3 2 2 2 12" xfId="17313" xr:uid="{8910CA35-9EEE-455F-B112-B151CB7EF7F4}"/>
    <cellStyle name="Currency 3 2 2 2 2" xfId="180" xr:uid="{00000000-0005-0000-0000-0000A80A0000}"/>
    <cellStyle name="Currency 3 2 2 2 2 10" xfId="8866" xr:uid="{4D7B07D9-2904-44BB-A769-85F12930CB95}"/>
    <cellStyle name="Currency 3 2 2 2 2 11" xfId="17314" xr:uid="{3BF1BEA5-09C4-4D38-A7EA-405138E614BE}"/>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2 2 2" xfId="15643" xr:uid="{D7F56F77-0FF6-41C8-8FA2-1787C4BC5DED}"/>
    <cellStyle name="Currency 3 2 2 2 2 2 2 2 3" xfId="24090" xr:uid="{F5582998-13DD-44A3-9577-DCA1C09E2D12}"/>
    <cellStyle name="Currency 3 2 2 2 2 2 2 3" xfId="11425" xr:uid="{9A881EFA-0BBF-4E22-A082-AE961BE2BEC7}"/>
    <cellStyle name="Currency 3 2 2 2 2 2 2 4" xfId="19873" xr:uid="{D7EB6ABB-D95F-4295-879F-C08DF586F007}"/>
    <cellStyle name="Currency 3 2 2 2 2 2 3" xfId="5048" xr:uid="{00000000-0005-0000-0000-0000AC0A0000}"/>
    <cellStyle name="Currency 3 2 2 2 2 2 3 2" xfId="13498" xr:uid="{838F562D-F5FD-48FC-B9A0-F9C73DF4CB2B}"/>
    <cellStyle name="Currency 3 2 2 2 2 2 3 3" xfId="21945" xr:uid="{03A8402C-813C-4780-AE6C-F8B002F764B2}"/>
    <cellStyle name="Currency 3 2 2 2 2 2 4" xfId="9280" xr:uid="{D2C87953-8C20-48ED-885B-CB1CC06F8CAF}"/>
    <cellStyle name="Currency 3 2 2 2 2 2 5" xfId="17728" xr:uid="{856ED777-4D06-412B-AE0E-F5FECFBD359E}"/>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2 2 2" xfId="16056" xr:uid="{C24587BB-96A5-4E1A-81BC-AD01A5CD5F95}"/>
    <cellStyle name="Currency 3 2 2 2 2 3 2 2 3" xfId="24503" xr:uid="{5A6E670B-768C-4C31-AAE4-8747A1BD7A8C}"/>
    <cellStyle name="Currency 3 2 2 2 2 3 2 3" xfId="11838" xr:uid="{46607EE7-6866-473C-B2E9-1DDCD3E81E89}"/>
    <cellStyle name="Currency 3 2 2 2 2 3 2 4" xfId="20286" xr:uid="{8023CA37-4179-455A-ABC1-00A2CAB3444F}"/>
    <cellStyle name="Currency 3 2 2 2 2 3 3" xfId="5461" xr:uid="{00000000-0005-0000-0000-0000B00A0000}"/>
    <cellStyle name="Currency 3 2 2 2 2 3 3 2" xfId="13911" xr:uid="{5D9D2617-6F1E-4EE9-875B-65CB3EBE087C}"/>
    <cellStyle name="Currency 3 2 2 2 2 3 3 3" xfId="22358" xr:uid="{FF3CE115-71E9-4521-8D64-51A6AC72ED6D}"/>
    <cellStyle name="Currency 3 2 2 2 2 3 4" xfId="9693" xr:uid="{E9804539-964D-4E56-99C8-E23A42910EE2}"/>
    <cellStyle name="Currency 3 2 2 2 2 3 5" xfId="18141" xr:uid="{BF24E919-F601-4C03-A50A-D158C5690D03}"/>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2 2 2" xfId="16469" xr:uid="{1182919A-A990-4F34-A030-F55BDA056112}"/>
    <cellStyle name="Currency 3 2 2 2 2 4 2 2 3" xfId="24916" xr:uid="{5A6E8E36-5939-4890-B7B4-68CC2280673F}"/>
    <cellStyle name="Currency 3 2 2 2 2 4 2 3" xfId="12251" xr:uid="{8946DBDB-F4AA-405B-BCA8-8663E6149854}"/>
    <cellStyle name="Currency 3 2 2 2 2 4 2 4" xfId="20699" xr:uid="{52B0452D-FE68-47A4-9F2A-0ABBAA372960}"/>
    <cellStyle name="Currency 3 2 2 2 2 4 3" xfId="5874" xr:uid="{00000000-0005-0000-0000-0000B40A0000}"/>
    <cellStyle name="Currency 3 2 2 2 2 4 3 2" xfId="14324" xr:uid="{8C2CC9EE-A565-4257-B71C-3317DDA66358}"/>
    <cellStyle name="Currency 3 2 2 2 2 4 3 3" xfId="22771" xr:uid="{D6A9F48E-430A-4D9E-97FF-3B3B67EABBA2}"/>
    <cellStyle name="Currency 3 2 2 2 2 4 4" xfId="10106" xr:uid="{FB9FD6EE-7145-47E6-9A62-43B3EE56F17C}"/>
    <cellStyle name="Currency 3 2 2 2 2 4 5" xfId="18554" xr:uid="{ABA1390E-CBC6-4239-A9BC-C44B95EECD9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2 2 2" xfId="16882" xr:uid="{553DC574-AED6-4176-93F4-423FEF5DD447}"/>
    <cellStyle name="Currency 3 2 2 2 2 5 2 2 3" xfId="25329" xr:uid="{2825C891-07C6-4828-A49D-66A5BFF58C1B}"/>
    <cellStyle name="Currency 3 2 2 2 2 5 2 3" xfId="12664" xr:uid="{7778A87E-04C3-486D-9AD8-F5CD79671599}"/>
    <cellStyle name="Currency 3 2 2 2 2 5 2 4" xfId="21112" xr:uid="{707CAF6C-E167-49FD-95BC-7CAA4CACFDF5}"/>
    <cellStyle name="Currency 3 2 2 2 2 5 3" xfId="6287" xr:uid="{00000000-0005-0000-0000-0000B80A0000}"/>
    <cellStyle name="Currency 3 2 2 2 2 5 3 2" xfId="14737" xr:uid="{0A064DC7-FA89-46A4-99E8-905519FA9599}"/>
    <cellStyle name="Currency 3 2 2 2 2 5 3 3" xfId="23184" xr:uid="{3821822B-4336-4695-BEA7-7DC64487C689}"/>
    <cellStyle name="Currency 3 2 2 2 2 5 4" xfId="10519" xr:uid="{33BE4543-9D87-4EB6-8F4B-D234ACB8F1AE}"/>
    <cellStyle name="Currency 3 2 2 2 2 5 5" xfId="18967" xr:uid="{3E187236-FFF4-4ED4-8092-70039A538974}"/>
    <cellStyle name="Currency 3 2 2 2 2 6" xfId="2416" xr:uid="{00000000-0005-0000-0000-0000B90A0000}"/>
    <cellStyle name="Currency 3 2 2 2 2 6 2" xfId="6700" xr:uid="{00000000-0005-0000-0000-0000BA0A0000}"/>
    <cellStyle name="Currency 3 2 2 2 2 6 2 2" xfId="15150" xr:uid="{5938D61D-57E8-4325-AEFE-DEC9D726A523}"/>
    <cellStyle name="Currency 3 2 2 2 2 6 2 3" xfId="23597" xr:uid="{699760BD-2D8D-4246-A2E3-C41A0020FD52}"/>
    <cellStyle name="Currency 3 2 2 2 2 6 3" xfId="10932" xr:uid="{7326E78E-34A5-4BDE-A0BF-6F6774B5E436}"/>
    <cellStyle name="Currency 3 2 2 2 2 6 4" xfId="19380" xr:uid="{EDDAA22B-6F33-463B-8223-6EC741BDE93E}"/>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8 2 2" xfId="15467" xr:uid="{8222FC1E-7E38-479F-B562-13E642ADC890}"/>
    <cellStyle name="Currency 3 2 2 2 2 8 2 3" xfId="23914" xr:uid="{0EC246FC-D343-4CC8-83B1-576E761326BD}"/>
    <cellStyle name="Currency 3 2 2 2 2 8 3" xfId="11249" xr:uid="{655B5F96-9C73-48DF-BC6F-A58E274EF76F}"/>
    <cellStyle name="Currency 3 2 2 2 2 8 4" xfId="19697" xr:uid="{DA6714EA-542D-4F9C-9608-759845279507}"/>
    <cellStyle name="Currency 3 2 2 2 2 9" xfId="4634" xr:uid="{00000000-0005-0000-0000-0000BE0A0000}"/>
    <cellStyle name="Currency 3 2 2 2 2 9 2" xfId="13084" xr:uid="{145A0B03-995A-4EB7-8D20-AF8257319B6B}"/>
    <cellStyle name="Currency 3 2 2 2 2 9 3" xfId="21531" xr:uid="{48B1EB71-22C9-4FA2-A5DE-C0A8F9084A13}"/>
    <cellStyle name="Currency 3 2 2 2 3" xfId="709" xr:uid="{00000000-0005-0000-0000-0000BF0A0000}"/>
    <cellStyle name="Currency 3 2 2 2 3 2" xfId="2970" xr:uid="{00000000-0005-0000-0000-0000C00A0000}"/>
    <cellStyle name="Currency 3 2 2 2 3 2 2" xfId="7192" xr:uid="{00000000-0005-0000-0000-0000C10A0000}"/>
    <cellStyle name="Currency 3 2 2 2 3 2 2 2" xfId="15642" xr:uid="{CE57BBA7-6F08-4EBD-A773-9CC8FA2A30CA}"/>
    <cellStyle name="Currency 3 2 2 2 3 2 2 3" xfId="24089" xr:uid="{50756BDE-938F-488E-B44B-649EC623704E}"/>
    <cellStyle name="Currency 3 2 2 2 3 2 3" xfId="11424" xr:uid="{C28D867A-B9EF-4BD6-A3EB-E7F3377B7EAB}"/>
    <cellStyle name="Currency 3 2 2 2 3 2 4" xfId="19872" xr:uid="{534296F0-8785-4BC1-9554-CDC6B1598514}"/>
    <cellStyle name="Currency 3 2 2 2 3 3" xfId="5047" xr:uid="{00000000-0005-0000-0000-0000C20A0000}"/>
    <cellStyle name="Currency 3 2 2 2 3 3 2" xfId="13497" xr:uid="{15A6DB20-FF72-4A6E-A4F4-726261673ECE}"/>
    <cellStyle name="Currency 3 2 2 2 3 3 3" xfId="21944" xr:uid="{7E1CB9A8-F774-48BC-9F8D-12FD47D3BD49}"/>
    <cellStyle name="Currency 3 2 2 2 3 4" xfId="9279" xr:uid="{E1E6AB6B-F088-4AEF-AEB3-3A02FF931A65}"/>
    <cellStyle name="Currency 3 2 2 2 3 5" xfId="17727" xr:uid="{182CCD73-8FF0-4414-B348-9BDD61193825}"/>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2 2 2" xfId="16055" xr:uid="{0CF226E7-39B0-4428-95FF-D58CE1AFEBEB}"/>
    <cellStyle name="Currency 3 2 2 2 4 2 2 3" xfId="24502" xr:uid="{DE79F701-3AF5-437C-A6BB-71A6B2F69955}"/>
    <cellStyle name="Currency 3 2 2 2 4 2 3" xfId="11837" xr:uid="{C62767CE-3E3B-49C9-B36C-CD5E6768F3CE}"/>
    <cellStyle name="Currency 3 2 2 2 4 2 4" xfId="20285" xr:uid="{C4AB9002-CC2B-4DE7-B2CD-B7FD713B0AE3}"/>
    <cellStyle name="Currency 3 2 2 2 4 3" xfId="5460" xr:uid="{00000000-0005-0000-0000-0000C60A0000}"/>
    <cellStyle name="Currency 3 2 2 2 4 3 2" xfId="13910" xr:uid="{9E609F6A-DFEF-4ED2-A9F8-B07B22987302}"/>
    <cellStyle name="Currency 3 2 2 2 4 3 3" xfId="22357" xr:uid="{C935163D-D1F0-4772-A0E8-7A5BB990039A}"/>
    <cellStyle name="Currency 3 2 2 2 4 4" xfId="9692" xr:uid="{BCEFA7EB-0407-4609-A619-86AAEC63ED00}"/>
    <cellStyle name="Currency 3 2 2 2 4 5" xfId="18140" xr:uid="{B0F9F2FA-5732-4C22-A9A8-03B30D948CF2}"/>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2 2 2" xfId="16468" xr:uid="{BBFBC292-BC5C-48A1-BD0C-0A7304E4B388}"/>
    <cellStyle name="Currency 3 2 2 2 5 2 2 3" xfId="24915" xr:uid="{B006DEA9-9EC8-4B19-85E1-AF9E1D64DF9B}"/>
    <cellStyle name="Currency 3 2 2 2 5 2 3" xfId="12250" xr:uid="{13D040B5-47F3-4926-A03A-6008B80598C2}"/>
    <cellStyle name="Currency 3 2 2 2 5 2 4" xfId="20698" xr:uid="{EFAF75FC-5B8D-4B38-97A7-30610FDDA3C4}"/>
    <cellStyle name="Currency 3 2 2 2 5 3" xfId="5873" xr:uid="{00000000-0005-0000-0000-0000CA0A0000}"/>
    <cellStyle name="Currency 3 2 2 2 5 3 2" xfId="14323" xr:uid="{17D6487D-1595-4517-8C2A-C1CB8BAAE919}"/>
    <cellStyle name="Currency 3 2 2 2 5 3 3" xfId="22770" xr:uid="{4F2C37D2-DE65-4463-9A29-0BD2BD7B6ADE}"/>
    <cellStyle name="Currency 3 2 2 2 5 4" xfId="10105" xr:uid="{7D9431BE-7775-4FE8-B956-6F1B613EB130}"/>
    <cellStyle name="Currency 3 2 2 2 5 5" xfId="18553" xr:uid="{EAAE48D5-9258-444E-AA37-EC75DAC77198}"/>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2 2 2" xfId="16881" xr:uid="{8FFCC42E-9D05-46A0-A1E1-A17D7B433BBE}"/>
    <cellStyle name="Currency 3 2 2 2 6 2 2 3" xfId="25328" xr:uid="{9776A917-B260-4BEC-9E43-F065873FEDE1}"/>
    <cellStyle name="Currency 3 2 2 2 6 2 3" xfId="12663" xr:uid="{91C440DC-ABF6-4452-A5D8-E9A1CFAC9668}"/>
    <cellStyle name="Currency 3 2 2 2 6 2 4" xfId="21111" xr:uid="{57245E3C-8800-464E-A7D0-A5CE21E9C4AF}"/>
    <cellStyle name="Currency 3 2 2 2 6 3" xfId="6286" xr:uid="{00000000-0005-0000-0000-0000CE0A0000}"/>
    <cellStyle name="Currency 3 2 2 2 6 3 2" xfId="14736" xr:uid="{E76A60CB-B47B-439C-8160-30D9DA6C1AA9}"/>
    <cellStyle name="Currency 3 2 2 2 6 3 3" xfId="23183" xr:uid="{3E1BAA1E-8C89-4EB6-8729-03CC442A6622}"/>
    <cellStyle name="Currency 3 2 2 2 6 4" xfId="10518" xr:uid="{1C3A52F8-7550-4A3E-AE8A-448143ACF6A0}"/>
    <cellStyle name="Currency 3 2 2 2 6 5" xfId="18966" xr:uid="{521865C4-7318-4FBE-828A-4F6FB3E6D5B6}"/>
    <cellStyle name="Currency 3 2 2 2 7" xfId="2415" xr:uid="{00000000-0005-0000-0000-0000CF0A0000}"/>
    <cellStyle name="Currency 3 2 2 2 7 2" xfId="6699" xr:uid="{00000000-0005-0000-0000-0000D00A0000}"/>
    <cellStyle name="Currency 3 2 2 2 7 2 2" xfId="15149" xr:uid="{BA0D1F18-AD50-47C1-9D71-C4CD8D6A0EC1}"/>
    <cellStyle name="Currency 3 2 2 2 7 2 3" xfId="23596" xr:uid="{9EE1728E-E700-4A7C-B0D3-637ACD7E2EC2}"/>
    <cellStyle name="Currency 3 2 2 2 7 3" xfId="10931" xr:uid="{B2C916D3-59A4-4C07-811B-E8BC09E5532B}"/>
    <cellStyle name="Currency 3 2 2 2 7 4" xfId="19379" xr:uid="{6AB4CB45-D5B1-4451-AEAC-7984E6C2FB19}"/>
    <cellStyle name="Currency 3 2 2 2 8" xfId="2712" xr:uid="{00000000-0005-0000-0000-0000D10A0000}"/>
    <cellStyle name="Currency 3 2 2 2 9" xfId="2793" xr:uid="{00000000-0005-0000-0000-0000D20A0000}"/>
    <cellStyle name="Currency 3 2 2 2 9 2" xfId="7016" xr:uid="{00000000-0005-0000-0000-0000D30A0000}"/>
    <cellStyle name="Currency 3 2 2 2 9 2 2" xfId="15466" xr:uid="{197E0EDC-C0D2-48F7-8649-D541FA865C02}"/>
    <cellStyle name="Currency 3 2 2 2 9 2 3" xfId="23913" xr:uid="{09D42492-60B0-4336-B667-9F7FCBFFAC9B}"/>
    <cellStyle name="Currency 3 2 2 2 9 3" xfId="11248" xr:uid="{3475B124-5F2F-4A5F-82F1-6D7704C64713}"/>
    <cellStyle name="Currency 3 2 2 2 9 4" xfId="19696" xr:uid="{3DF2F7B3-F2AD-4890-93CA-8033A65470E9}"/>
    <cellStyle name="Currency 3 2 2 3" xfId="181" xr:uid="{00000000-0005-0000-0000-0000D40A0000}"/>
    <cellStyle name="Currency 3 2 2 3 10" xfId="8867" xr:uid="{A74BA4DE-7435-47B6-B8F4-A4B89CB499AF}"/>
    <cellStyle name="Currency 3 2 2 3 11" xfId="17315" xr:uid="{E0B48F80-979E-48B4-BE20-B7E3F255C289}"/>
    <cellStyle name="Currency 3 2 2 3 2" xfId="711" xr:uid="{00000000-0005-0000-0000-0000D50A0000}"/>
    <cellStyle name="Currency 3 2 2 3 2 2" xfId="2972" xr:uid="{00000000-0005-0000-0000-0000D60A0000}"/>
    <cellStyle name="Currency 3 2 2 3 2 2 2" xfId="7194" xr:uid="{00000000-0005-0000-0000-0000D70A0000}"/>
    <cellStyle name="Currency 3 2 2 3 2 2 2 2" xfId="15644" xr:uid="{1B7BF822-DC62-4FE5-9F0E-D70547C874A1}"/>
    <cellStyle name="Currency 3 2 2 3 2 2 2 3" xfId="24091" xr:uid="{38DD58DB-F168-4661-8C03-C762B4D36736}"/>
    <cellStyle name="Currency 3 2 2 3 2 2 3" xfId="11426" xr:uid="{1E7C47A4-5013-4D97-915C-C34B228838BA}"/>
    <cellStyle name="Currency 3 2 2 3 2 2 4" xfId="19874" xr:uid="{4BCDC965-CFD3-495F-B1D7-73BBEEF0FD8E}"/>
    <cellStyle name="Currency 3 2 2 3 2 3" xfId="5049" xr:uid="{00000000-0005-0000-0000-0000D80A0000}"/>
    <cellStyle name="Currency 3 2 2 3 2 3 2" xfId="13499" xr:uid="{003B3AB0-FAD9-4364-9F8C-47DC6E22A040}"/>
    <cellStyle name="Currency 3 2 2 3 2 3 3" xfId="21946" xr:uid="{4B52AA86-5BC8-40BC-8026-93E397D804B9}"/>
    <cellStyle name="Currency 3 2 2 3 2 4" xfId="9281" xr:uid="{1C398F23-8C94-44C7-B7DE-B42806E39B0D}"/>
    <cellStyle name="Currency 3 2 2 3 2 5" xfId="17729" xr:uid="{744A5087-3481-42DA-80EE-335BBE356AC5}"/>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2 2 2" xfId="16057" xr:uid="{02B1BD4D-8D4A-4CA1-BC16-723445A521B5}"/>
    <cellStyle name="Currency 3 2 2 3 3 2 2 3" xfId="24504" xr:uid="{82137F88-5378-4764-8E70-B74B8F0A8CE4}"/>
    <cellStyle name="Currency 3 2 2 3 3 2 3" xfId="11839" xr:uid="{34FD8801-1474-495D-9DFA-AE6257C447FE}"/>
    <cellStyle name="Currency 3 2 2 3 3 2 4" xfId="20287" xr:uid="{EFA2AE42-D3BE-4494-80DE-6EC1D624B329}"/>
    <cellStyle name="Currency 3 2 2 3 3 3" xfId="5462" xr:uid="{00000000-0005-0000-0000-0000DC0A0000}"/>
    <cellStyle name="Currency 3 2 2 3 3 3 2" xfId="13912" xr:uid="{6EC30AD2-C3E3-488C-AE03-208DFAA087CB}"/>
    <cellStyle name="Currency 3 2 2 3 3 3 3" xfId="22359" xr:uid="{B278929F-ADC7-4700-B309-4999E916AB52}"/>
    <cellStyle name="Currency 3 2 2 3 3 4" xfId="9694" xr:uid="{98F3A6C4-FCB5-4927-9543-067194DB127C}"/>
    <cellStyle name="Currency 3 2 2 3 3 5" xfId="18142" xr:uid="{71F2BEBE-E289-4B90-B8C1-F788E4521AF4}"/>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2 2 2" xfId="16470" xr:uid="{0E38A66C-7B19-4EBA-BD46-B207ADAB3442}"/>
    <cellStyle name="Currency 3 2 2 3 4 2 2 3" xfId="24917" xr:uid="{43F23A49-4A82-4283-849F-6A4E61DA7596}"/>
    <cellStyle name="Currency 3 2 2 3 4 2 3" xfId="12252" xr:uid="{B3ACEBC7-155D-42B9-9C34-14C8938C7872}"/>
    <cellStyle name="Currency 3 2 2 3 4 2 4" xfId="20700" xr:uid="{6DCC01E8-4616-4ECF-B9AA-A36BA1D5CA19}"/>
    <cellStyle name="Currency 3 2 2 3 4 3" xfId="5875" xr:uid="{00000000-0005-0000-0000-0000E00A0000}"/>
    <cellStyle name="Currency 3 2 2 3 4 3 2" xfId="14325" xr:uid="{48484981-490D-4A42-881C-DB661CAE372F}"/>
    <cellStyle name="Currency 3 2 2 3 4 3 3" xfId="22772" xr:uid="{D66DD146-1616-46EA-97EC-8B3A328B3F61}"/>
    <cellStyle name="Currency 3 2 2 3 4 4" xfId="10107" xr:uid="{0771BDD5-E137-4EE7-A314-6BD386FBF877}"/>
    <cellStyle name="Currency 3 2 2 3 4 5" xfId="18555" xr:uid="{2C3EF0B6-E6B8-4D83-837A-CC4A74D3CD2A}"/>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2 2 2" xfId="16883" xr:uid="{D1654492-299E-42CA-BCE4-3951AEAA4941}"/>
    <cellStyle name="Currency 3 2 2 3 5 2 2 3" xfId="25330" xr:uid="{0363EDF2-076C-4B6C-8B6A-B3E51B72CAC0}"/>
    <cellStyle name="Currency 3 2 2 3 5 2 3" xfId="12665" xr:uid="{B86D82CC-626A-4265-850F-E7092CFAAFA8}"/>
    <cellStyle name="Currency 3 2 2 3 5 2 4" xfId="21113" xr:uid="{CB392BFF-7C2B-4089-AEB1-29392CCEB8DC}"/>
    <cellStyle name="Currency 3 2 2 3 5 3" xfId="6288" xr:uid="{00000000-0005-0000-0000-0000E40A0000}"/>
    <cellStyle name="Currency 3 2 2 3 5 3 2" xfId="14738" xr:uid="{B475C9F0-D2F7-4DF8-9D96-D8D3193B06D3}"/>
    <cellStyle name="Currency 3 2 2 3 5 3 3" xfId="23185" xr:uid="{65E6410A-DC3D-4EE5-9C1C-857126C2935E}"/>
    <cellStyle name="Currency 3 2 2 3 5 4" xfId="10520" xr:uid="{52FAB892-5652-4944-A1BA-D18B49B7F7E3}"/>
    <cellStyle name="Currency 3 2 2 3 5 5" xfId="18968" xr:uid="{0098CB29-4448-4D34-A291-ABCCEFEFEF51}"/>
    <cellStyle name="Currency 3 2 2 3 6" xfId="2417" xr:uid="{00000000-0005-0000-0000-0000E50A0000}"/>
    <cellStyle name="Currency 3 2 2 3 6 2" xfId="6701" xr:uid="{00000000-0005-0000-0000-0000E60A0000}"/>
    <cellStyle name="Currency 3 2 2 3 6 2 2" xfId="15151" xr:uid="{1B28B463-99E3-49D8-8E03-75D5EB234823}"/>
    <cellStyle name="Currency 3 2 2 3 6 2 3" xfId="23598" xr:uid="{9FDE2BB7-6090-4DFD-9D00-07DA4BF84D2E}"/>
    <cellStyle name="Currency 3 2 2 3 6 3" xfId="10933" xr:uid="{F4CAEA73-943A-4410-B4FA-932E773888EE}"/>
    <cellStyle name="Currency 3 2 2 3 6 4" xfId="19381" xr:uid="{E32DB445-F5DB-4584-B0F7-193C3F17DC48}"/>
    <cellStyle name="Currency 3 2 2 3 7" xfId="2714" xr:uid="{00000000-0005-0000-0000-0000E70A0000}"/>
    <cellStyle name="Currency 3 2 2 3 8" xfId="2795" xr:uid="{00000000-0005-0000-0000-0000E80A0000}"/>
    <cellStyle name="Currency 3 2 2 3 8 2" xfId="7018" xr:uid="{00000000-0005-0000-0000-0000E90A0000}"/>
    <cellStyle name="Currency 3 2 2 3 8 2 2" xfId="15468" xr:uid="{8F27C1AD-2AAE-4E3E-8C93-9ECD85015912}"/>
    <cellStyle name="Currency 3 2 2 3 8 2 3" xfId="23915" xr:uid="{FD63E6BF-DB67-4110-A20C-E5610C032ED1}"/>
    <cellStyle name="Currency 3 2 2 3 8 3" xfId="11250" xr:uid="{BEA02ABF-C6DC-415D-A598-3B031E02040D}"/>
    <cellStyle name="Currency 3 2 2 3 8 4" xfId="19698" xr:uid="{490E2BF6-C0ED-4152-A1CE-6740F79B8FF4}"/>
    <cellStyle name="Currency 3 2 2 3 9" xfId="4635" xr:uid="{00000000-0005-0000-0000-0000EA0A0000}"/>
    <cellStyle name="Currency 3 2 2 3 9 2" xfId="13085" xr:uid="{BEB7E6CA-8C97-47D2-B4EE-39BADEA486B5}"/>
    <cellStyle name="Currency 3 2 2 3 9 3" xfId="21532" xr:uid="{FF7F7FB9-BE83-4901-97E1-3FD0F3B96DCD}"/>
    <cellStyle name="Currency 3 2 2 4" xfId="708" xr:uid="{00000000-0005-0000-0000-0000EB0A0000}"/>
    <cellStyle name="Currency 3 2 2 4 2" xfId="2969" xr:uid="{00000000-0005-0000-0000-0000EC0A0000}"/>
    <cellStyle name="Currency 3 2 2 4 2 2" xfId="7191" xr:uid="{00000000-0005-0000-0000-0000ED0A0000}"/>
    <cellStyle name="Currency 3 2 2 4 2 2 2" xfId="15641" xr:uid="{23BA2788-92D2-4425-A507-979350D85AD5}"/>
    <cellStyle name="Currency 3 2 2 4 2 2 3" xfId="24088" xr:uid="{CFBB6875-7D9A-4966-A3B5-B4ADF407885D}"/>
    <cellStyle name="Currency 3 2 2 4 2 3" xfId="11423" xr:uid="{EC02917E-3CCF-4022-B5AC-8D2A646D0FEE}"/>
    <cellStyle name="Currency 3 2 2 4 2 4" xfId="19871" xr:uid="{0D0C9E95-7D14-4C4E-A079-4E0865AB44F5}"/>
    <cellStyle name="Currency 3 2 2 4 3" xfId="5046" xr:uid="{00000000-0005-0000-0000-0000EE0A0000}"/>
    <cellStyle name="Currency 3 2 2 4 3 2" xfId="13496" xr:uid="{EC2FAB94-92BB-4291-AE82-83BC570AF887}"/>
    <cellStyle name="Currency 3 2 2 4 3 3" xfId="21943" xr:uid="{00A88E83-D1E6-4759-8091-6A918D8D0562}"/>
    <cellStyle name="Currency 3 2 2 4 4" xfId="9278" xr:uid="{A2025290-C732-45FB-B370-95721BF694C8}"/>
    <cellStyle name="Currency 3 2 2 4 5" xfId="17726" xr:uid="{AB0BC8F6-EF17-4099-A6D9-792661088446}"/>
    <cellStyle name="Currency 3 2 2 5" xfId="1151" xr:uid="{00000000-0005-0000-0000-0000EF0A0000}"/>
    <cellStyle name="Currency 3 2 2 5 2" xfId="3382" xr:uid="{00000000-0005-0000-0000-0000F00A0000}"/>
    <cellStyle name="Currency 3 2 2 5 2 2" xfId="7604" xr:uid="{00000000-0005-0000-0000-0000F10A0000}"/>
    <cellStyle name="Currency 3 2 2 5 2 2 2" xfId="16054" xr:uid="{519F7DC3-E6BE-41FC-B8B6-8E2A5198AAB9}"/>
    <cellStyle name="Currency 3 2 2 5 2 2 3" xfId="24501" xr:uid="{B0CF3EC5-FE2B-4026-94B9-EBEBAC000AA4}"/>
    <cellStyle name="Currency 3 2 2 5 2 3" xfId="11836" xr:uid="{12636E8C-C9DB-4E32-A696-7926B4460FC8}"/>
    <cellStyle name="Currency 3 2 2 5 2 4" xfId="20284" xr:uid="{BFE7E07B-8C52-4431-B440-BC8E47D5B966}"/>
    <cellStyle name="Currency 3 2 2 5 3" xfId="5459" xr:uid="{00000000-0005-0000-0000-0000F20A0000}"/>
    <cellStyle name="Currency 3 2 2 5 3 2" xfId="13909" xr:uid="{998E47D4-C88E-43E6-911B-6A7139C2198B}"/>
    <cellStyle name="Currency 3 2 2 5 3 3" xfId="22356" xr:uid="{668B98E1-6700-49BD-9F99-4B13ADE83453}"/>
    <cellStyle name="Currency 3 2 2 5 4" xfId="9691" xr:uid="{9F956D24-04DC-4578-B8BD-88F4F6845DBB}"/>
    <cellStyle name="Currency 3 2 2 5 5" xfId="18139" xr:uid="{8CF42949-A4E8-476E-8964-F52F99A71D5D}"/>
    <cellStyle name="Currency 3 2 2 6" xfId="1565" xr:uid="{00000000-0005-0000-0000-0000F30A0000}"/>
    <cellStyle name="Currency 3 2 2 6 2" xfId="3795" xr:uid="{00000000-0005-0000-0000-0000F40A0000}"/>
    <cellStyle name="Currency 3 2 2 6 2 2" xfId="8017" xr:uid="{00000000-0005-0000-0000-0000F50A0000}"/>
    <cellStyle name="Currency 3 2 2 6 2 2 2" xfId="16467" xr:uid="{B0497C4D-7E55-4810-B04A-0D7FFE3A0731}"/>
    <cellStyle name="Currency 3 2 2 6 2 2 3" xfId="24914" xr:uid="{A51DFB67-9412-4E29-ACC1-57D60D1B7D3E}"/>
    <cellStyle name="Currency 3 2 2 6 2 3" xfId="12249" xr:uid="{6FA7A0CF-0348-406A-9A7C-49774D076932}"/>
    <cellStyle name="Currency 3 2 2 6 2 4" xfId="20697" xr:uid="{6DE557C4-3FBD-4F1E-B14B-D1C8FAA12C56}"/>
    <cellStyle name="Currency 3 2 2 6 3" xfId="5872" xr:uid="{00000000-0005-0000-0000-0000F60A0000}"/>
    <cellStyle name="Currency 3 2 2 6 3 2" xfId="14322" xr:uid="{F04C1352-8A48-46BD-826E-B625AF00C5C2}"/>
    <cellStyle name="Currency 3 2 2 6 3 3" xfId="22769" xr:uid="{46AEF6C1-28FF-49C0-839E-CF0D02687B04}"/>
    <cellStyle name="Currency 3 2 2 6 4" xfId="10104" xr:uid="{51182AD8-5EFB-46B9-A605-2C9F3E9D5441}"/>
    <cellStyle name="Currency 3 2 2 6 5" xfId="18552" xr:uid="{67F22470-C908-49E8-9926-9ABDF0B66E0F}"/>
    <cellStyle name="Currency 3 2 2 7" xfId="1979" xr:uid="{00000000-0005-0000-0000-0000F70A0000}"/>
    <cellStyle name="Currency 3 2 2 7 2" xfId="4208" xr:uid="{00000000-0005-0000-0000-0000F80A0000}"/>
    <cellStyle name="Currency 3 2 2 7 2 2" xfId="8430" xr:uid="{00000000-0005-0000-0000-0000F90A0000}"/>
    <cellStyle name="Currency 3 2 2 7 2 2 2" xfId="16880" xr:uid="{6A77A4C6-DCB3-46CF-A621-3016233ACC29}"/>
    <cellStyle name="Currency 3 2 2 7 2 2 3" xfId="25327" xr:uid="{7D0AF435-63AE-415F-AC14-3A6F0E287E4D}"/>
    <cellStyle name="Currency 3 2 2 7 2 3" xfId="12662" xr:uid="{E85475B2-CA9F-443F-B395-8C2F0D590DE1}"/>
    <cellStyle name="Currency 3 2 2 7 2 4" xfId="21110" xr:uid="{FD149628-5C85-4E30-80DD-C99C80CA9E92}"/>
    <cellStyle name="Currency 3 2 2 7 3" xfId="6285" xr:uid="{00000000-0005-0000-0000-0000FA0A0000}"/>
    <cellStyle name="Currency 3 2 2 7 3 2" xfId="14735" xr:uid="{9C776B27-685A-44AC-A8B1-8AD13F9C3181}"/>
    <cellStyle name="Currency 3 2 2 7 3 3" xfId="23182" xr:uid="{D4FA6305-4F49-415D-AB79-FB31DFE7BE5B}"/>
    <cellStyle name="Currency 3 2 2 7 4" xfId="10517" xr:uid="{CD6D9253-0E0E-424E-800B-DE25038F332D}"/>
    <cellStyle name="Currency 3 2 2 7 5" xfId="18965" xr:uid="{41084923-1105-4B51-AC4C-55BA43C18CAF}"/>
    <cellStyle name="Currency 3 2 2 8" xfId="2414" xr:uid="{00000000-0005-0000-0000-0000FB0A0000}"/>
    <cellStyle name="Currency 3 2 2 8 2" xfId="6698" xr:uid="{00000000-0005-0000-0000-0000FC0A0000}"/>
    <cellStyle name="Currency 3 2 2 8 2 2" xfId="15148" xr:uid="{A018E5CC-C812-4235-B230-38444FA86639}"/>
    <cellStyle name="Currency 3 2 2 8 2 3" xfId="23595" xr:uid="{589679D2-1121-4FA4-B193-1EF0F2941229}"/>
    <cellStyle name="Currency 3 2 2 8 3" xfId="10930" xr:uid="{8738F782-F6AF-4148-B00A-487343E75AD7}"/>
    <cellStyle name="Currency 3 2 2 8 4" xfId="19378" xr:uid="{FBAC18E2-439E-420E-986B-4C2B52B24D9D}"/>
    <cellStyle name="Currency 3 2 2 9" xfId="2711" xr:uid="{00000000-0005-0000-0000-0000FD0A0000}"/>
    <cellStyle name="Currency 3 2 3" xfId="182" xr:uid="{00000000-0005-0000-0000-0000FE0A0000}"/>
    <cellStyle name="Currency 3 2 3 10" xfId="4636" xr:uid="{00000000-0005-0000-0000-0000FF0A0000}"/>
    <cellStyle name="Currency 3 2 3 10 2" xfId="13086" xr:uid="{D9674563-77E8-4E8C-A49C-59A8F53E21F0}"/>
    <cellStyle name="Currency 3 2 3 10 3" xfId="21533" xr:uid="{C201D969-0649-4F63-80A8-4EDCEBB0F7D0}"/>
    <cellStyle name="Currency 3 2 3 11" xfId="8868" xr:uid="{5CAF730B-4C83-4838-98B2-047077973F31}"/>
    <cellStyle name="Currency 3 2 3 12" xfId="17316" xr:uid="{02A2EBFA-FD35-461A-92CE-3E5138069744}"/>
    <cellStyle name="Currency 3 2 3 2" xfId="183" xr:uid="{00000000-0005-0000-0000-0000000B0000}"/>
    <cellStyle name="Currency 3 2 3 2 10" xfId="8869" xr:uid="{24DAE1B9-07CA-4EB5-B283-E35F1AC2C51B}"/>
    <cellStyle name="Currency 3 2 3 2 11" xfId="17317" xr:uid="{69928B2C-502D-436F-A891-730ED1DFE54B}"/>
    <cellStyle name="Currency 3 2 3 2 2" xfId="713" xr:uid="{00000000-0005-0000-0000-0000010B0000}"/>
    <cellStyle name="Currency 3 2 3 2 2 2" xfId="2974" xr:uid="{00000000-0005-0000-0000-0000020B0000}"/>
    <cellStyle name="Currency 3 2 3 2 2 2 2" xfId="7196" xr:uid="{00000000-0005-0000-0000-0000030B0000}"/>
    <cellStyle name="Currency 3 2 3 2 2 2 2 2" xfId="15646" xr:uid="{CB3F0378-438D-4F50-9F2E-A4C3BE5AA953}"/>
    <cellStyle name="Currency 3 2 3 2 2 2 2 3" xfId="24093" xr:uid="{88AE8A7E-DB25-465E-A89A-985C5B3719AB}"/>
    <cellStyle name="Currency 3 2 3 2 2 2 3" xfId="11428" xr:uid="{68B3C754-FC3B-4C25-AADA-7EB36B27BA78}"/>
    <cellStyle name="Currency 3 2 3 2 2 2 4" xfId="19876" xr:uid="{591A13FF-3038-471A-BAF5-CE9F2342A8F8}"/>
    <cellStyle name="Currency 3 2 3 2 2 3" xfId="5051" xr:uid="{00000000-0005-0000-0000-0000040B0000}"/>
    <cellStyle name="Currency 3 2 3 2 2 3 2" xfId="13501" xr:uid="{CC04A089-DFB4-4656-AB62-330B0076A9BD}"/>
    <cellStyle name="Currency 3 2 3 2 2 3 3" xfId="21948" xr:uid="{063764C3-B779-4D79-B76D-70AE72B5E56F}"/>
    <cellStyle name="Currency 3 2 3 2 2 4" xfId="9283" xr:uid="{57C127B8-625A-4B4C-A50B-7F20250B70DC}"/>
    <cellStyle name="Currency 3 2 3 2 2 5" xfId="17731" xr:uid="{05F3D672-209F-4CD5-B4FE-511B2F933774}"/>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2 2 2" xfId="16059" xr:uid="{060B44D6-7680-4E9B-9163-53A91D9E609B}"/>
    <cellStyle name="Currency 3 2 3 2 3 2 2 3" xfId="24506" xr:uid="{CB1DDE9A-15E3-447D-B615-37EBD5FD5866}"/>
    <cellStyle name="Currency 3 2 3 2 3 2 3" xfId="11841" xr:uid="{65363723-9BCC-4CB4-B64E-70CF4E6AE371}"/>
    <cellStyle name="Currency 3 2 3 2 3 2 4" xfId="20289" xr:uid="{A328519B-0C30-4EF6-9633-843741A0FC2E}"/>
    <cellStyle name="Currency 3 2 3 2 3 3" xfId="5464" xr:uid="{00000000-0005-0000-0000-0000080B0000}"/>
    <cellStyle name="Currency 3 2 3 2 3 3 2" xfId="13914" xr:uid="{1DCAC752-F6F8-4249-BD86-49DD2DECFDA9}"/>
    <cellStyle name="Currency 3 2 3 2 3 3 3" xfId="22361" xr:uid="{064AC5EF-9D9C-47DD-8F43-D20A6EE3BC32}"/>
    <cellStyle name="Currency 3 2 3 2 3 4" xfId="9696" xr:uid="{A92AF216-C85A-48FA-9007-2D359CCFCBBF}"/>
    <cellStyle name="Currency 3 2 3 2 3 5" xfId="18144" xr:uid="{967078FB-F8C1-4120-8FE8-289E00ACE4E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2 2 2" xfId="16472" xr:uid="{94DCD91F-0DAF-49CE-A7B3-2BCE6F7FBD15}"/>
    <cellStyle name="Currency 3 2 3 2 4 2 2 3" xfId="24919" xr:uid="{1F2FD83A-D70C-464F-A3E5-C35F57C2A130}"/>
    <cellStyle name="Currency 3 2 3 2 4 2 3" xfId="12254" xr:uid="{4DCF0E99-0151-4323-A14B-A5781264FAE4}"/>
    <cellStyle name="Currency 3 2 3 2 4 2 4" xfId="20702" xr:uid="{7D0FC794-EBE6-4604-A91C-D9B0D91061E6}"/>
    <cellStyle name="Currency 3 2 3 2 4 3" xfId="5877" xr:uid="{00000000-0005-0000-0000-00000C0B0000}"/>
    <cellStyle name="Currency 3 2 3 2 4 3 2" xfId="14327" xr:uid="{BB9E4F5C-8F52-4CBC-B6DA-3F593BCB7C5C}"/>
    <cellStyle name="Currency 3 2 3 2 4 3 3" xfId="22774" xr:uid="{A303367A-3D6D-4F22-BFFD-4684BA0D6D80}"/>
    <cellStyle name="Currency 3 2 3 2 4 4" xfId="10109" xr:uid="{2079A636-FE6A-46DF-BE89-3C296CE52C6D}"/>
    <cellStyle name="Currency 3 2 3 2 4 5" xfId="18557" xr:uid="{2CCFD353-A373-4C28-9B70-200A7999C93C}"/>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2 2 2" xfId="16885" xr:uid="{C92C3876-1E64-4815-AC6A-85327F73B257}"/>
    <cellStyle name="Currency 3 2 3 2 5 2 2 3" xfId="25332" xr:uid="{A44B3A96-1D29-4E34-9B3E-5B797885F62D}"/>
    <cellStyle name="Currency 3 2 3 2 5 2 3" xfId="12667" xr:uid="{66122D92-D9A8-43E5-BF86-DE2B6474DC3A}"/>
    <cellStyle name="Currency 3 2 3 2 5 2 4" xfId="21115" xr:uid="{93E7EA33-BF5C-4040-BFE7-2E61F075FEFF}"/>
    <cellStyle name="Currency 3 2 3 2 5 3" xfId="6290" xr:uid="{00000000-0005-0000-0000-0000100B0000}"/>
    <cellStyle name="Currency 3 2 3 2 5 3 2" xfId="14740" xr:uid="{459ED286-CCF6-4F62-9F79-1E6E395646E9}"/>
    <cellStyle name="Currency 3 2 3 2 5 3 3" xfId="23187" xr:uid="{91275BE5-CD11-48B4-B1D7-C3B5D6FC9540}"/>
    <cellStyle name="Currency 3 2 3 2 5 4" xfId="10522" xr:uid="{89F2436F-1E69-4FA1-921D-1948F352071B}"/>
    <cellStyle name="Currency 3 2 3 2 5 5" xfId="18970" xr:uid="{2629F11C-EED9-4C29-8BDB-8789C755669B}"/>
    <cellStyle name="Currency 3 2 3 2 6" xfId="2419" xr:uid="{00000000-0005-0000-0000-0000110B0000}"/>
    <cellStyle name="Currency 3 2 3 2 6 2" xfId="6703" xr:uid="{00000000-0005-0000-0000-0000120B0000}"/>
    <cellStyle name="Currency 3 2 3 2 6 2 2" xfId="15153" xr:uid="{D5A1E916-2EA2-4EC5-BAFB-37FE96997C97}"/>
    <cellStyle name="Currency 3 2 3 2 6 2 3" xfId="23600" xr:uid="{77E4B301-C620-4EAC-8C06-F3694A3CE280}"/>
    <cellStyle name="Currency 3 2 3 2 6 3" xfId="10935" xr:uid="{4C2296EF-890E-4AE1-A253-A4A521411CAE}"/>
    <cellStyle name="Currency 3 2 3 2 6 4" xfId="19383" xr:uid="{A8B520A2-723C-4D12-A3EB-29B2D8F4DA20}"/>
    <cellStyle name="Currency 3 2 3 2 7" xfId="2716" xr:uid="{00000000-0005-0000-0000-0000130B0000}"/>
    <cellStyle name="Currency 3 2 3 2 8" xfId="2797" xr:uid="{00000000-0005-0000-0000-0000140B0000}"/>
    <cellStyle name="Currency 3 2 3 2 8 2" xfId="7020" xr:uid="{00000000-0005-0000-0000-0000150B0000}"/>
    <cellStyle name="Currency 3 2 3 2 8 2 2" xfId="15470" xr:uid="{3AFE9966-DF02-4348-BFB3-BAE0162351E5}"/>
    <cellStyle name="Currency 3 2 3 2 8 2 3" xfId="23917" xr:uid="{738E8CF4-1392-47B0-8212-65AB170F4E2A}"/>
    <cellStyle name="Currency 3 2 3 2 8 3" xfId="11252" xr:uid="{642E071D-E242-4389-885C-EE04C9AA5744}"/>
    <cellStyle name="Currency 3 2 3 2 8 4" xfId="19700" xr:uid="{225367A4-FEE0-4A9C-9D0F-7C6EFAB4E065}"/>
    <cellStyle name="Currency 3 2 3 2 9" xfId="4637" xr:uid="{00000000-0005-0000-0000-0000160B0000}"/>
    <cellStyle name="Currency 3 2 3 2 9 2" xfId="13087" xr:uid="{BAA7B70C-F7C3-4DE9-A8A7-D6C141ABDD00}"/>
    <cellStyle name="Currency 3 2 3 2 9 3" xfId="21534" xr:uid="{B6DAF37D-7FB8-4A5E-B1C6-7665FF837F68}"/>
    <cellStyle name="Currency 3 2 3 3" xfId="712" xr:uid="{00000000-0005-0000-0000-0000170B0000}"/>
    <cellStyle name="Currency 3 2 3 3 2" xfId="2973" xr:uid="{00000000-0005-0000-0000-0000180B0000}"/>
    <cellStyle name="Currency 3 2 3 3 2 2" xfId="7195" xr:uid="{00000000-0005-0000-0000-0000190B0000}"/>
    <cellStyle name="Currency 3 2 3 3 2 2 2" xfId="15645" xr:uid="{41D51DCF-071F-4351-8022-F3D302528F53}"/>
    <cellStyle name="Currency 3 2 3 3 2 2 3" xfId="24092" xr:uid="{084A184F-FA2B-4FEE-9804-85F2739507A5}"/>
    <cellStyle name="Currency 3 2 3 3 2 3" xfId="11427" xr:uid="{DA3C0E43-8FD2-43FF-A958-E1BD4B65487E}"/>
    <cellStyle name="Currency 3 2 3 3 2 4" xfId="19875" xr:uid="{A2508D21-36C2-41BA-9D77-FE37127BD69B}"/>
    <cellStyle name="Currency 3 2 3 3 3" xfId="5050" xr:uid="{00000000-0005-0000-0000-00001A0B0000}"/>
    <cellStyle name="Currency 3 2 3 3 3 2" xfId="13500" xr:uid="{929948B4-8F49-43E6-AD7D-C11BAAC98381}"/>
    <cellStyle name="Currency 3 2 3 3 3 3" xfId="21947" xr:uid="{515B9463-EEB1-4485-9578-B7A00F917FA7}"/>
    <cellStyle name="Currency 3 2 3 3 4" xfId="9282" xr:uid="{DC231AE4-3B06-4B89-876C-23D6EE936F51}"/>
    <cellStyle name="Currency 3 2 3 3 5" xfId="17730" xr:uid="{1F33DB45-83CD-4D58-A053-D9E241E96AD2}"/>
    <cellStyle name="Currency 3 2 3 4" xfId="1155" xr:uid="{00000000-0005-0000-0000-00001B0B0000}"/>
    <cellStyle name="Currency 3 2 3 4 2" xfId="3386" xr:uid="{00000000-0005-0000-0000-00001C0B0000}"/>
    <cellStyle name="Currency 3 2 3 4 2 2" xfId="7608" xr:uid="{00000000-0005-0000-0000-00001D0B0000}"/>
    <cellStyle name="Currency 3 2 3 4 2 2 2" xfId="16058" xr:uid="{5957B6C7-287D-4B0C-8527-F17F8656354D}"/>
    <cellStyle name="Currency 3 2 3 4 2 2 3" xfId="24505" xr:uid="{97524DE7-DBC8-4B02-BCB8-43BD1E208F75}"/>
    <cellStyle name="Currency 3 2 3 4 2 3" xfId="11840" xr:uid="{99B164FC-7B2B-4995-A0E5-2EE9EFC6792E}"/>
    <cellStyle name="Currency 3 2 3 4 2 4" xfId="20288" xr:uid="{D95867D1-548D-447E-8073-3AB1CE353DA8}"/>
    <cellStyle name="Currency 3 2 3 4 3" xfId="5463" xr:uid="{00000000-0005-0000-0000-00001E0B0000}"/>
    <cellStyle name="Currency 3 2 3 4 3 2" xfId="13913" xr:uid="{7FE41575-C674-4BC4-A46B-C437B0C0D332}"/>
    <cellStyle name="Currency 3 2 3 4 3 3" xfId="22360" xr:uid="{4C36C2C7-0A89-4A3C-B800-17AFD62A6DB9}"/>
    <cellStyle name="Currency 3 2 3 4 4" xfId="9695" xr:uid="{B91DE67D-CEE2-4C76-9A48-FCC91797BA03}"/>
    <cellStyle name="Currency 3 2 3 4 5" xfId="18143" xr:uid="{84302339-5297-40D3-91B2-37348DAD3415}"/>
    <cellStyle name="Currency 3 2 3 5" xfId="1569" xr:uid="{00000000-0005-0000-0000-00001F0B0000}"/>
    <cellStyle name="Currency 3 2 3 5 2" xfId="3799" xr:uid="{00000000-0005-0000-0000-0000200B0000}"/>
    <cellStyle name="Currency 3 2 3 5 2 2" xfId="8021" xr:uid="{00000000-0005-0000-0000-0000210B0000}"/>
    <cellStyle name="Currency 3 2 3 5 2 2 2" xfId="16471" xr:uid="{BE985018-40EC-45D4-B261-7E67AA825968}"/>
    <cellStyle name="Currency 3 2 3 5 2 2 3" xfId="24918" xr:uid="{790DFE4A-E92F-4005-9EDA-DB267B913728}"/>
    <cellStyle name="Currency 3 2 3 5 2 3" xfId="12253" xr:uid="{B992DCD8-FE98-4016-A14D-4761B3AD688A}"/>
    <cellStyle name="Currency 3 2 3 5 2 4" xfId="20701" xr:uid="{FA67F169-1DF1-4C40-9911-DFF494A5F793}"/>
    <cellStyle name="Currency 3 2 3 5 3" xfId="5876" xr:uid="{00000000-0005-0000-0000-0000220B0000}"/>
    <cellStyle name="Currency 3 2 3 5 3 2" xfId="14326" xr:uid="{1C7FE0F4-8CC7-4B0D-8A23-D63097159D8B}"/>
    <cellStyle name="Currency 3 2 3 5 3 3" xfId="22773" xr:uid="{9837CA22-20FD-468B-BDFC-3F704AA8CAD0}"/>
    <cellStyle name="Currency 3 2 3 5 4" xfId="10108" xr:uid="{7FC4478B-1D48-4947-8C0B-6F4967BE7ED3}"/>
    <cellStyle name="Currency 3 2 3 5 5" xfId="18556" xr:uid="{BE3832A7-8370-4032-BA67-892CF75D761D}"/>
    <cellStyle name="Currency 3 2 3 6" xfId="1983" xr:uid="{00000000-0005-0000-0000-0000230B0000}"/>
    <cellStyle name="Currency 3 2 3 6 2" xfId="4212" xr:uid="{00000000-0005-0000-0000-0000240B0000}"/>
    <cellStyle name="Currency 3 2 3 6 2 2" xfId="8434" xr:uid="{00000000-0005-0000-0000-0000250B0000}"/>
    <cellStyle name="Currency 3 2 3 6 2 2 2" xfId="16884" xr:uid="{75232B17-7621-4D35-8E35-08B534675F77}"/>
    <cellStyle name="Currency 3 2 3 6 2 2 3" xfId="25331" xr:uid="{4A34020B-D753-4AB2-9D75-6922029A2B50}"/>
    <cellStyle name="Currency 3 2 3 6 2 3" xfId="12666" xr:uid="{DB6C2DBB-DBFB-42FE-8A1D-EBEC0BD3C844}"/>
    <cellStyle name="Currency 3 2 3 6 2 4" xfId="21114" xr:uid="{E30872EF-3485-46D8-B1E7-69C567D0A48A}"/>
    <cellStyle name="Currency 3 2 3 6 3" xfId="6289" xr:uid="{00000000-0005-0000-0000-0000260B0000}"/>
    <cellStyle name="Currency 3 2 3 6 3 2" xfId="14739" xr:uid="{2D27E967-8BAF-4E18-B815-BE8CCD439E2E}"/>
    <cellStyle name="Currency 3 2 3 6 3 3" xfId="23186" xr:uid="{F34A71F3-6DE0-4D4E-824B-452602A550C6}"/>
    <cellStyle name="Currency 3 2 3 6 4" xfId="10521" xr:uid="{814F167F-BA2A-4A87-B28C-496B5097300D}"/>
    <cellStyle name="Currency 3 2 3 6 5" xfId="18969" xr:uid="{6D2B7EA1-ED07-459C-9B6E-92B59FCACA70}"/>
    <cellStyle name="Currency 3 2 3 7" xfId="2418" xr:uid="{00000000-0005-0000-0000-0000270B0000}"/>
    <cellStyle name="Currency 3 2 3 7 2" xfId="6702" xr:uid="{00000000-0005-0000-0000-0000280B0000}"/>
    <cellStyle name="Currency 3 2 3 7 2 2" xfId="15152" xr:uid="{3C77B252-40B4-480B-AA94-0DF974F23526}"/>
    <cellStyle name="Currency 3 2 3 7 2 3" xfId="23599" xr:uid="{4CD1F35F-8DC5-465E-9146-D102A8B11911}"/>
    <cellStyle name="Currency 3 2 3 7 3" xfId="10934" xr:uid="{8E95F80B-CBCB-4927-AE2B-015A8F1F4FBD}"/>
    <cellStyle name="Currency 3 2 3 7 4" xfId="19382" xr:uid="{00117748-0FA0-4819-B751-74A8D806F937}"/>
    <cellStyle name="Currency 3 2 3 8" xfId="2715" xr:uid="{00000000-0005-0000-0000-0000290B0000}"/>
    <cellStyle name="Currency 3 2 3 9" xfId="2796" xr:uid="{00000000-0005-0000-0000-00002A0B0000}"/>
    <cellStyle name="Currency 3 2 3 9 2" xfId="7019" xr:uid="{00000000-0005-0000-0000-00002B0B0000}"/>
    <cellStyle name="Currency 3 2 3 9 2 2" xfId="15469" xr:uid="{4E32C590-769F-45FC-8D83-67FDEA69E72F}"/>
    <cellStyle name="Currency 3 2 3 9 2 3" xfId="23916" xr:uid="{7C315C62-3202-4803-871E-54DECB60256A}"/>
    <cellStyle name="Currency 3 2 3 9 3" xfId="11251" xr:uid="{3FFA2E92-8156-4562-AC59-D3BE2B3484C1}"/>
    <cellStyle name="Currency 3 2 3 9 4" xfId="19699" xr:uid="{73FC690C-41C6-4F60-9A40-739729CE4343}"/>
    <cellStyle name="Currency 3 2 4" xfId="184" xr:uid="{00000000-0005-0000-0000-00002C0B0000}"/>
    <cellStyle name="Currency 3 2 4 10" xfId="8870" xr:uid="{02973F02-1374-4EC1-864E-6AF160A2D52F}"/>
    <cellStyle name="Currency 3 2 4 11" xfId="17318" xr:uid="{95C4807A-7620-43F6-8CE3-C16B95980D8F}"/>
    <cellStyle name="Currency 3 2 4 2" xfId="714" xr:uid="{00000000-0005-0000-0000-00002D0B0000}"/>
    <cellStyle name="Currency 3 2 4 2 2" xfId="2975" xr:uid="{00000000-0005-0000-0000-00002E0B0000}"/>
    <cellStyle name="Currency 3 2 4 2 2 2" xfId="7197" xr:uid="{00000000-0005-0000-0000-00002F0B0000}"/>
    <cellStyle name="Currency 3 2 4 2 2 2 2" xfId="15647" xr:uid="{978F86B5-188E-4B09-A824-940C8334246C}"/>
    <cellStyle name="Currency 3 2 4 2 2 2 3" xfId="24094" xr:uid="{E1E9174E-8BD9-4F62-89F8-2FDEABE57EE9}"/>
    <cellStyle name="Currency 3 2 4 2 2 3" xfId="11429" xr:uid="{C37C5162-4F6C-4BBC-8BAF-E3434A552E45}"/>
    <cellStyle name="Currency 3 2 4 2 2 4" xfId="19877" xr:uid="{23FFF5E7-6C8A-4F38-A37D-BBBCC2530D4F}"/>
    <cellStyle name="Currency 3 2 4 2 3" xfId="5052" xr:uid="{00000000-0005-0000-0000-0000300B0000}"/>
    <cellStyle name="Currency 3 2 4 2 3 2" xfId="13502" xr:uid="{FE133EED-F2A9-4CF2-93DB-B02A5E30EBF2}"/>
    <cellStyle name="Currency 3 2 4 2 3 3" xfId="21949" xr:uid="{65800F1C-9527-4DC4-B4B3-9477A00FE2C1}"/>
    <cellStyle name="Currency 3 2 4 2 4" xfId="9284" xr:uid="{223FB88E-553E-4756-8DBF-E9AAE84EF69C}"/>
    <cellStyle name="Currency 3 2 4 2 5" xfId="17732" xr:uid="{5FA9ECC9-01CC-49BB-9367-2844162AE932}"/>
    <cellStyle name="Currency 3 2 4 3" xfId="1157" xr:uid="{00000000-0005-0000-0000-0000310B0000}"/>
    <cellStyle name="Currency 3 2 4 3 2" xfId="3388" xr:uid="{00000000-0005-0000-0000-0000320B0000}"/>
    <cellStyle name="Currency 3 2 4 3 2 2" xfId="7610" xr:uid="{00000000-0005-0000-0000-0000330B0000}"/>
    <cellStyle name="Currency 3 2 4 3 2 2 2" xfId="16060" xr:uid="{1FB9DDF8-8AE3-4073-9E9C-09D9218DF35C}"/>
    <cellStyle name="Currency 3 2 4 3 2 2 3" xfId="24507" xr:uid="{641260D2-4B74-4407-BEC4-F398A79B664F}"/>
    <cellStyle name="Currency 3 2 4 3 2 3" xfId="11842" xr:uid="{4A98552C-6583-425E-9F28-814AD7294B9A}"/>
    <cellStyle name="Currency 3 2 4 3 2 4" xfId="20290" xr:uid="{51E78B70-8F48-414C-B942-5735C8D6FD42}"/>
    <cellStyle name="Currency 3 2 4 3 3" xfId="5465" xr:uid="{00000000-0005-0000-0000-0000340B0000}"/>
    <cellStyle name="Currency 3 2 4 3 3 2" xfId="13915" xr:uid="{DEE1238C-F1DB-4CE3-A313-A95541E672B6}"/>
    <cellStyle name="Currency 3 2 4 3 3 3" xfId="22362" xr:uid="{5CA5E7E5-9D99-4EFB-A0E7-C790E18BB3DB}"/>
    <cellStyle name="Currency 3 2 4 3 4" xfId="9697" xr:uid="{A0457754-CE8F-4690-9B91-858B144C6279}"/>
    <cellStyle name="Currency 3 2 4 3 5" xfId="18145" xr:uid="{A62D5F42-2DC1-49C5-9302-2097BCDFBA7B}"/>
    <cellStyle name="Currency 3 2 4 4" xfId="1571" xr:uid="{00000000-0005-0000-0000-0000350B0000}"/>
    <cellStyle name="Currency 3 2 4 4 2" xfId="3801" xr:uid="{00000000-0005-0000-0000-0000360B0000}"/>
    <cellStyle name="Currency 3 2 4 4 2 2" xfId="8023" xr:uid="{00000000-0005-0000-0000-0000370B0000}"/>
    <cellStyle name="Currency 3 2 4 4 2 2 2" xfId="16473" xr:uid="{73C15CA6-EDEF-4A58-ABAE-A7A85A2C827E}"/>
    <cellStyle name="Currency 3 2 4 4 2 2 3" xfId="24920" xr:uid="{7E153EE5-AB73-4C31-842E-6568C4ECB893}"/>
    <cellStyle name="Currency 3 2 4 4 2 3" xfId="12255" xr:uid="{B3FDB435-6182-47E6-8EA4-36E991A1FFC4}"/>
    <cellStyle name="Currency 3 2 4 4 2 4" xfId="20703" xr:uid="{133E7762-4665-42B1-A4B3-E70E4E52DEA0}"/>
    <cellStyle name="Currency 3 2 4 4 3" xfId="5878" xr:uid="{00000000-0005-0000-0000-0000380B0000}"/>
    <cellStyle name="Currency 3 2 4 4 3 2" xfId="14328" xr:uid="{752433C7-276B-414E-8E78-BA8716D97DF7}"/>
    <cellStyle name="Currency 3 2 4 4 3 3" xfId="22775" xr:uid="{5B8DB257-C2E9-4777-B521-D46E484CB623}"/>
    <cellStyle name="Currency 3 2 4 4 4" xfId="10110" xr:uid="{553491E3-0608-4693-B532-F94EAA5E675E}"/>
    <cellStyle name="Currency 3 2 4 4 5" xfId="18558" xr:uid="{8A362DE8-30C6-4C70-8525-B3912A25AD25}"/>
    <cellStyle name="Currency 3 2 4 5" xfId="1985" xr:uid="{00000000-0005-0000-0000-0000390B0000}"/>
    <cellStyle name="Currency 3 2 4 5 2" xfId="4214" xr:uid="{00000000-0005-0000-0000-00003A0B0000}"/>
    <cellStyle name="Currency 3 2 4 5 2 2" xfId="8436" xr:uid="{00000000-0005-0000-0000-00003B0B0000}"/>
    <cellStyle name="Currency 3 2 4 5 2 2 2" xfId="16886" xr:uid="{9EA665CE-E5B4-4DBB-AB83-869A4E8E7A9E}"/>
    <cellStyle name="Currency 3 2 4 5 2 2 3" xfId="25333" xr:uid="{46292D91-463E-4EF0-8C8B-816E5CE5AEE6}"/>
    <cellStyle name="Currency 3 2 4 5 2 3" xfId="12668" xr:uid="{56C9C991-1F0A-4FB1-AA84-ED59BA216793}"/>
    <cellStyle name="Currency 3 2 4 5 2 4" xfId="21116" xr:uid="{2381EE93-1172-4C3F-9C7D-181BAC8FBC53}"/>
    <cellStyle name="Currency 3 2 4 5 3" xfId="6291" xr:uid="{00000000-0005-0000-0000-00003C0B0000}"/>
    <cellStyle name="Currency 3 2 4 5 3 2" xfId="14741" xr:uid="{5B8B4652-ACBA-4980-B686-69F44A3D10DF}"/>
    <cellStyle name="Currency 3 2 4 5 3 3" xfId="23188" xr:uid="{C4BD7F28-086D-4603-B8CB-DAAC60397604}"/>
    <cellStyle name="Currency 3 2 4 5 4" xfId="10523" xr:uid="{353084F4-B29A-49CA-A33E-37ED4654D12B}"/>
    <cellStyle name="Currency 3 2 4 5 5" xfId="18971" xr:uid="{A78D276C-530A-463D-BE98-00AA6B9C331A}"/>
    <cellStyle name="Currency 3 2 4 6" xfId="2420" xr:uid="{00000000-0005-0000-0000-00003D0B0000}"/>
    <cellStyle name="Currency 3 2 4 6 2" xfId="6704" xr:uid="{00000000-0005-0000-0000-00003E0B0000}"/>
    <cellStyle name="Currency 3 2 4 6 2 2" xfId="15154" xr:uid="{7CCF4280-F5F0-41D8-A9FA-F03820DC0C27}"/>
    <cellStyle name="Currency 3 2 4 6 2 3" xfId="23601" xr:uid="{C43A1BDC-58F0-4AB8-A6D3-280EB6582AEE}"/>
    <cellStyle name="Currency 3 2 4 6 3" xfId="10936" xr:uid="{8206F4B4-7182-40BE-BCCC-0C6AF931063F}"/>
    <cellStyle name="Currency 3 2 4 6 4" xfId="19384" xr:uid="{749221F7-61CF-4FFA-91A9-AD12265D8DD0}"/>
    <cellStyle name="Currency 3 2 4 7" xfId="2717" xr:uid="{00000000-0005-0000-0000-00003F0B0000}"/>
    <cellStyle name="Currency 3 2 4 8" xfId="2798" xr:uid="{00000000-0005-0000-0000-0000400B0000}"/>
    <cellStyle name="Currency 3 2 4 8 2" xfId="7021" xr:uid="{00000000-0005-0000-0000-0000410B0000}"/>
    <cellStyle name="Currency 3 2 4 8 2 2" xfId="15471" xr:uid="{D6734B3E-CE8C-41E1-9E07-E6EECAFB6103}"/>
    <cellStyle name="Currency 3 2 4 8 2 3" xfId="23918" xr:uid="{133E83CD-A2DB-4CCE-BE74-874089D1FC39}"/>
    <cellStyle name="Currency 3 2 4 8 3" xfId="11253" xr:uid="{97307493-2766-419C-9DDF-C0B8DF22A665}"/>
    <cellStyle name="Currency 3 2 4 8 4" xfId="19701" xr:uid="{6454C631-82AA-43FA-90B5-928ED98E3BEC}"/>
    <cellStyle name="Currency 3 2 4 9" xfId="4638" xr:uid="{00000000-0005-0000-0000-0000420B0000}"/>
    <cellStyle name="Currency 3 2 4 9 2" xfId="13088" xr:uid="{B95ED165-745C-411B-9BC8-8277B1EB3F29}"/>
    <cellStyle name="Currency 3 2 4 9 3" xfId="21535" xr:uid="{EBFACBBA-526B-45CB-9108-CF4F2F0C3D48}"/>
    <cellStyle name="Currency 3 2 5" xfId="185" xr:uid="{00000000-0005-0000-0000-0000430B0000}"/>
    <cellStyle name="Currency 3 2 5 10" xfId="8871" xr:uid="{BE450BE1-F716-46E4-813B-CECBF9D09646}"/>
    <cellStyle name="Currency 3 2 5 11" xfId="17319" xr:uid="{5296D4A2-86C8-4283-B420-22704EBD1D4D}"/>
    <cellStyle name="Currency 3 2 5 2" xfId="715" xr:uid="{00000000-0005-0000-0000-0000440B0000}"/>
    <cellStyle name="Currency 3 2 5 2 2" xfId="2976" xr:uid="{00000000-0005-0000-0000-0000450B0000}"/>
    <cellStyle name="Currency 3 2 5 2 2 2" xfId="7198" xr:uid="{00000000-0005-0000-0000-0000460B0000}"/>
    <cellStyle name="Currency 3 2 5 2 2 2 2" xfId="15648" xr:uid="{1634D843-D98A-4E6D-AAED-CBE769348254}"/>
    <cellStyle name="Currency 3 2 5 2 2 2 3" xfId="24095" xr:uid="{A51D278D-D3B0-47F7-AB6F-EC094F995DDB}"/>
    <cellStyle name="Currency 3 2 5 2 2 3" xfId="11430" xr:uid="{C6475707-B6B8-49EF-82E1-C5B5463C6D5A}"/>
    <cellStyle name="Currency 3 2 5 2 2 4" xfId="19878" xr:uid="{82C4CFBF-10FF-4099-BDB6-F44D57566FE9}"/>
    <cellStyle name="Currency 3 2 5 2 3" xfId="5053" xr:uid="{00000000-0005-0000-0000-0000470B0000}"/>
    <cellStyle name="Currency 3 2 5 2 3 2" xfId="13503" xr:uid="{2B733BA0-C335-4C70-8DFC-5BD9FA9C20E2}"/>
    <cellStyle name="Currency 3 2 5 2 3 3" xfId="21950" xr:uid="{0CEEABF5-0185-4B5C-9A44-0C096BF259AC}"/>
    <cellStyle name="Currency 3 2 5 2 4" xfId="9285" xr:uid="{2300C3F1-4977-49CE-B2D1-713AE41E30D4}"/>
    <cellStyle name="Currency 3 2 5 2 5" xfId="17733" xr:uid="{0894DBEF-DA5D-4B81-AB5E-E618252EE27C}"/>
    <cellStyle name="Currency 3 2 5 3" xfId="1158" xr:uid="{00000000-0005-0000-0000-0000480B0000}"/>
    <cellStyle name="Currency 3 2 5 3 2" xfId="3389" xr:uid="{00000000-0005-0000-0000-0000490B0000}"/>
    <cellStyle name="Currency 3 2 5 3 2 2" xfId="7611" xr:uid="{00000000-0005-0000-0000-00004A0B0000}"/>
    <cellStyle name="Currency 3 2 5 3 2 2 2" xfId="16061" xr:uid="{1CBEAA2F-087F-44AF-9C1C-23D6FAD34996}"/>
    <cellStyle name="Currency 3 2 5 3 2 2 3" xfId="24508" xr:uid="{15D8ED65-8AB3-4581-B08A-26F2EBB0326B}"/>
    <cellStyle name="Currency 3 2 5 3 2 3" xfId="11843" xr:uid="{E73A30D1-4772-43CF-8C42-27CFA5E24AA9}"/>
    <cellStyle name="Currency 3 2 5 3 2 4" xfId="20291" xr:uid="{7B4D1F38-25FC-4EF6-B67E-D07710F958DD}"/>
    <cellStyle name="Currency 3 2 5 3 3" xfId="5466" xr:uid="{00000000-0005-0000-0000-00004B0B0000}"/>
    <cellStyle name="Currency 3 2 5 3 3 2" xfId="13916" xr:uid="{61AC89D4-F7A0-478D-9FF7-8974B5B78B04}"/>
    <cellStyle name="Currency 3 2 5 3 3 3" xfId="22363" xr:uid="{13517F49-BE34-467F-BE9E-8CC8A4CE7E5F}"/>
    <cellStyle name="Currency 3 2 5 3 4" xfId="9698" xr:uid="{1448C473-0D17-4C94-9B9B-882D063030A4}"/>
    <cellStyle name="Currency 3 2 5 3 5" xfId="18146" xr:uid="{4DD9F80C-B18C-4080-B4C8-71A91A19EA1E}"/>
    <cellStyle name="Currency 3 2 5 4" xfId="1572" xr:uid="{00000000-0005-0000-0000-00004C0B0000}"/>
    <cellStyle name="Currency 3 2 5 4 2" xfId="3802" xr:uid="{00000000-0005-0000-0000-00004D0B0000}"/>
    <cellStyle name="Currency 3 2 5 4 2 2" xfId="8024" xr:uid="{00000000-0005-0000-0000-00004E0B0000}"/>
    <cellStyle name="Currency 3 2 5 4 2 2 2" xfId="16474" xr:uid="{CC2A4F87-BF31-42F4-951E-BD738D1F64DB}"/>
    <cellStyle name="Currency 3 2 5 4 2 2 3" xfId="24921" xr:uid="{99447E31-25A0-4E37-AE12-2651FAE2899B}"/>
    <cellStyle name="Currency 3 2 5 4 2 3" xfId="12256" xr:uid="{BCF38B30-D5E3-45F8-BCD1-3D7CB52AF1C3}"/>
    <cellStyle name="Currency 3 2 5 4 2 4" xfId="20704" xr:uid="{C02AEA8F-C933-4C48-97BF-EC2FC145C97D}"/>
    <cellStyle name="Currency 3 2 5 4 3" xfId="5879" xr:uid="{00000000-0005-0000-0000-00004F0B0000}"/>
    <cellStyle name="Currency 3 2 5 4 3 2" xfId="14329" xr:uid="{405A09B2-244D-4BD4-BF9C-0ED6888A7777}"/>
    <cellStyle name="Currency 3 2 5 4 3 3" xfId="22776" xr:uid="{D7AB5623-88FC-4C92-BF63-D672D40902DD}"/>
    <cellStyle name="Currency 3 2 5 4 4" xfId="10111" xr:uid="{D73FEEF9-2554-4B55-BF09-5D5C35B1C552}"/>
    <cellStyle name="Currency 3 2 5 4 5" xfId="18559" xr:uid="{D396739C-8FB3-40EA-987C-2A3C9A5D08C3}"/>
    <cellStyle name="Currency 3 2 5 5" xfId="1986" xr:uid="{00000000-0005-0000-0000-0000500B0000}"/>
    <cellStyle name="Currency 3 2 5 5 2" xfId="4215" xr:uid="{00000000-0005-0000-0000-0000510B0000}"/>
    <cellStyle name="Currency 3 2 5 5 2 2" xfId="8437" xr:uid="{00000000-0005-0000-0000-0000520B0000}"/>
    <cellStyle name="Currency 3 2 5 5 2 2 2" xfId="16887" xr:uid="{B00E0585-31B2-42CF-AA99-B708D16A4124}"/>
    <cellStyle name="Currency 3 2 5 5 2 2 3" xfId="25334" xr:uid="{1B048454-BB69-4C49-A2F9-1D2350FA4541}"/>
    <cellStyle name="Currency 3 2 5 5 2 3" xfId="12669" xr:uid="{9F45D284-F03C-47E5-BAA2-114915B248AB}"/>
    <cellStyle name="Currency 3 2 5 5 2 4" xfId="21117" xr:uid="{831075AD-4377-4259-9EE2-A2B60332A0CE}"/>
    <cellStyle name="Currency 3 2 5 5 3" xfId="6292" xr:uid="{00000000-0005-0000-0000-0000530B0000}"/>
    <cellStyle name="Currency 3 2 5 5 3 2" xfId="14742" xr:uid="{C1203A33-2454-4A60-AE2C-65A0A0E970BF}"/>
    <cellStyle name="Currency 3 2 5 5 3 3" xfId="23189" xr:uid="{8ED56B68-0E8A-4332-8517-0806DAB5C0D0}"/>
    <cellStyle name="Currency 3 2 5 5 4" xfId="10524" xr:uid="{6B965CB6-30F2-47CD-AB6B-1F0B84DEA4CF}"/>
    <cellStyle name="Currency 3 2 5 5 5" xfId="18972" xr:uid="{4D576333-C5BC-41FC-A9CE-8579721EB2BD}"/>
    <cellStyle name="Currency 3 2 5 6" xfId="2421" xr:uid="{00000000-0005-0000-0000-0000540B0000}"/>
    <cellStyle name="Currency 3 2 5 6 2" xfId="6705" xr:uid="{00000000-0005-0000-0000-0000550B0000}"/>
    <cellStyle name="Currency 3 2 5 6 2 2" xfId="15155" xr:uid="{615D800F-4BDE-48CD-8401-02BC02958BA9}"/>
    <cellStyle name="Currency 3 2 5 6 2 3" xfId="23602" xr:uid="{D30D1EDF-056E-4DC9-AACB-7B2712AC67D9}"/>
    <cellStyle name="Currency 3 2 5 6 3" xfId="10937" xr:uid="{E85DC84D-C076-4C24-A465-20B2899FC4F2}"/>
    <cellStyle name="Currency 3 2 5 6 4" xfId="19385" xr:uid="{DFF43FF4-9538-4190-99A4-2F434D3424A8}"/>
    <cellStyle name="Currency 3 2 5 7" xfId="2718" xr:uid="{00000000-0005-0000-0000-0000560B0000}"/>
    <cellStyle name="Currency 3 2 5 8" xfId="2799" xr:uid="{00000000-0005-0000-0000-0000570B0000}"/>
    <cellStyle name="Currency 3 2 5 8 2" xfId="7022" xr:uid="{00000000-0005-0000-0000-0000580B0000}"/>
    <cellStyle name="Currency 3 2 5 8 2 2" xfId="15472" xr:uid="{2701F7BC-A20D-4698-9433-C099FFC51CB4}"/>
    <cellStyle name="Currency 3 2 5 8 2 3" xfId="23919" xr:uid="{8CB3556A-7F18-4F44-A6D1-2A58E405C2D7}"/>
    <cellStyle name="Currency 3 2 5 8 3" xfId="11254" xr:uid="{0053297F-D21D-4EC1-B71D-735E3F91E6FC}"/>
    <cellStyle name="Currency 3 2 5 8 4" xfId="19702" xr:uid="{BD241FC9-EC85-45D5-BA30-F5B30A6CA899}"/>
    <cellStyle name="Currency 3 2 5 9" xfId="4639" xr:uid="{00000000-0005-0000-0000-0000590B0000}"/>
    <cellStyle name="Currency 3 2 5 9 2" xfId="13089" xr:uid="{7F30B3B8-D203-4637-80C4-6B1CFEC497F6}"/>
    <cellStyle name="Currency 3 2 5 9 3" xfId="21536" xr:uid="{25642B62-3C91-4A09-8484-C6450E484E19}"/>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0 2 2" xfId="15473" xr:uid="{4EB6F136-572C-46C7-9231-D3AEB359F634}"/>
    <cellStyle name="Currency 5 2 2 2 10 2 3" xfId="23920" xr:uid="{7BDDF6DA-804F-443B-9C9A-8484986C742A}"/>
    <cellStyle name="Currency 5 2 2 2 10 3" xfId="11255" xr:uid="{6529D91D-7562-416E-B581-1C2C6633C4FD}"/>
    <cellStyle name="Currency 5 2 2 2 10 4" xfId="19703" xr:uid="{0380E975-F2B0-48C4-BEDD-2FF50E8BC3C8}"/>
    <cellStyle name="Currency 5 2 2 2 11" xfId="4640" xr:uid="{00000000-0005-0000-0000-00006C0B0000}"/>
    <cellStyle name="Currency 5 2 2 2 11 2" xfId="13090" xr:uid="{757A208C-5885-43B5-9600-75677C31AA74}"/>
    <cellStyle name="Currency 5 2 2 2 11 3" xfId="21537" xr:uid="{C4ADA6B2-F1EF-4BA6-A316-AF5014A096C2}"/>
    <cellStyle name="Currency 5 2 2 2 12" xfId="8872" xr:uid="{5B6137B7-D3AE-4DAC-A605-4A3D23C99195}"/>
    <cellStyle name="Currency 5 2 2 2 13" xfId="17320" xr:uid="{20EAAF53-DD2C-4009-9F12-7CA4E7403F5E}"/>
    <cellStyle name="Currency 5 2 2 2 2" xfId="197" xr:uid="{00000000-0005-0000-0000-00006D0B0000}"/>
    <cellStyle name="Currency 5 2 2 2 2 10" xfId="4641" xr:uid="{00000000-0005-0000-0000-00006E0B0000}"/>
    <cellStyle name="Currency 5 2 2 2 2 10 2" xfId="13091" xr:uid="{88A21135-2625-4686-A90C-552242A29148}"/>
    <cellStyle name="Currency 5 2 2 2 2 10 3" xfId="21538" xr:uid="{6C769D43-D427-48BB-93D5-B32496B89296}"/>
    <cellStyle name="Currency 5 2 2 2 2 11" xfId="8873" xr:uid="{D5010AE3-8BE9-4E68-887E-68B2C007A9C3}"/>
    <cellStyle name="Currency 5 2 2 2 2 12" xfId="17321" xr:uid="{5C7A0E7D-B890-4C45-B6E1-D84335ABAFB0}"/>
    <cellStyle name="Currency 5 2 2 2 2 2" xfId="198" xr:uid="{00000000-0005-0000-0000-00006F0B0000}"/>
    <cellStyle name="Currency 5 2 2 2 2 2 10" xfId="8874" xr:uid="{D1E41DB3-4335-40AF-BBC4-49B86D8EE629}"/>
    <cellStyle name="Currency 5 2 2 2 2 2 11" xfId="17322" xr:uid="{24D9B52D-8034-46D4-826E-3D2218113C5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2 2 2" xfId="15651" xr:uid="{CD04BBDF-590D-460A-A32D-77172F167B14}"/>
    <cellStyle name="Currency 5 2 2 2 2 2 2 2 2 3" xfId="24098" xr:uid="{517F4109-D95F-4292-8C3E-62145E0EFEBD}"/>
    <cellStyle name="Currency 5 2 2 2 2 2 2 2 3" xfId="11433" xr:uid="{BEEC5337-8ACB-493C-A07C-A2A012C07886}"/>
    <cellStyle name="Currency 5 2 2 2 2 2 2 2 4" xfId="19881" xr:uid="{C34B3B87-0F4C-4037-9CD7-72776E4FC793}"/>
    <cellStyle name="Currency 5 2 2 2 2 2 2 3" xfId="5056" xr:uid="{00000000-0005-0000-0000-0000730B0000}"/>
    <cellStyle name="Currency 5 2 2 2 2 2 2 3 2" xfId="13506" xr:uid="{08DCF36E-9AB5-44E4-B07F-032C76F6BE97}"/>
    <cellStyle name="Currency 5 2 2 2 2 2 2 3 3" xfId="21953" xr:uid="{B306ED7D-422E-4AF5-A232-E394498164B0}"/>
    <cellStyle name="Currency 5 2 2 2 2 2 2 4" xfId="9288" xr:uid="{A7AEE36D-14E3-427C-BF15-782AA368AA07}"/>
    <cellStyle name="Currency 5 2 2 2 2 2 2 5" xfId="17736" xr:uid="{8E8CBBA0-D08C-4AD9-84BF-A8B13BA24DFB}"/>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2 2 2" xfId="16064" xr:uid="{CA569272-4074-45CE-AB8F-4EAF1AA32820}"/>
    <cellStyle name="Currency 5 2 2 2 2 2 3 2 2 3" xfId="24511" xr:uid="{8D7F438C-3688-4EC9-B296-B2EA3CD5BAA9}"/>
    <cellStyle name="Currency 5 2 2 2 2 2 3 2 3" xfId="11846" xr:uid="{D2F1AFE4-0442-403F-9930-53A5068B3C1E}"/>
    <cellStyle name="Currency 5 2 2 2 2 2 3 2 4" xfId="20294" xr:uid="{12A9EB6E-BCB5-49AD-9416-AC9C8B6D1014}"/>
    <cellStyle name="Currency 5 2 2 2 2 2 3 3" xfId="5469" xr:uid="{00000000-0005-0000-0000-0000770B0000}"/>
    <cellStyle name="Currency 5 2 2 2 2 2 3 3 2" xfId="13919" xr:uid="{398CEA10-F312-43C4-A2D1-E3FB687BE188}"/>
    <cellStyle name="Currency 5 2 2 2 2 2 3 3 3" xfId="22366" xr:uid="{82443049-D687-4825-B6E7-D065F6FD8217}"/>
    <cellStyle name="Currency 5 2 2 2 2 2 3 4" xfId="9701" xr:uid="{91371E41-667A-45AF-BA61-C741AEEF8431}"/>
    <cellStyle name="Currency 5 2 2 2 2 2 3 5" xfId="18149" xr:uid="{639943B7-FE2F-483A-B30F-3B6C48E85633}"/>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2 2 2" xfId="16477" xr:uid="{FB1B576D-A984-4C69-9E50-FFD30DCF561D}"/>
    <cellStyle name="Currency 5 2 2 2 2 2 4 2 2 3" xfId="24924" xr:uid="{AE18A4AE-2C40-44C6-9E74-B59B5115F2D4}"/>
    <cellStyle name="Currency 5 2 2 2 2 2 4 2 3" xfId="12259" xr:uid="{D98C0C23-13EA-409F-B6A7-2D4B25458F3B}"/>
    <cellStyle name="Currency 5 2 2 2 2 2 4 2 4" xfId="20707" xr:uid="{6A12D272-6DF9-4FBD-BC82-859EECEA0B78}"/>
    <cellStyle name="Currency 5 2 2 2 2 2 4 3" xfId="5882" xr:uid="{00000000-0005-0000-0000-00007B0B0000}"/>
    <cellStyle name="Currency 5 2 2 2 2 2 4 3 2" xfId="14332" xr:uid="{D3B25AC6-0297-4DFA-A050-D0B259900EC1}"/>
    <cellStyle name="Currency 5 2 2 2 2 2 4 3 3" xfId="22779" xr:uid="{156A4F8F-0967-4FE3-BA58-90638990482E}"/>
    <cellStyle name="Currency 5 2 2 2 2 2 4 4" xfId="10114" xr:uid="{4B506D79-27DC-42CE-9227-B0169597491A}"/>
    <cellStyle name="Currency 5 2 2 2 2 2 4 5" xfId="18562" xr:uid="{F0CB6207-C057-4D3D-9080-EBF357F32AF5}"/>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2 2 2" xfId="16890" xr:uid="{9366F51E-2436-4E7A-B039-2CBBECCD5B88}"/>
    <cellStyle name="Currency 5 2 2 2 2 2 5 2 2 3" xfId="25337" xr:uid="{8AE46284-1888-454E-AF91-34F3BFA5A7DA}"/>
    <cellStyle name="Currency 5 2 2 2 2 2 5 2 3" xfId="12672" xr:uid="{1194D238-45AA-476D-998A-C74946749722}"/>
    <cellStyle name="Currency 5 2 2 2 2 2 5 2 4" xfId="21120" xr:uid="{2927B4A0-2A88-4CDB-9D07-9A143B766A16}"/>
    <cellStyle name="Currency 5 2 2 2 2 2 5 3" xfId="6295" xr:uid="{00000000-0005-0000-0000-00007F0B0000}"/>
    <cellStyle name="Currency 5 2 2 2 2 2 5 3 2" xfId="14745" xr:uid="{51BCE098-B54A-45D8-93AC-B883C1D1298E}"/>
    <cellStyle name="Currency 5 2 2 2 2 2 5 3 3" xfId="23192" xr:uid="{80B5DAA7-5431-4226-AD0D-EB3CCC6362F6}"/>
    <cellStyle name="Currency 5 2 2 2 2 2 5 4" xfId="10527" xr:uid="{E8DED993-4FC1-48DC-88DA-49B5458561AC}"/>
    <cellStyle name="Currency 5 2 2 2 2 2 5 5" xfId="18975" xr:uid="{3B5850D9-7B57-40F7-9C2D-5E4A9DDE1389}"/>
    <cellStyle name="Currency 5 2 2 2 2 2 6" xfId="2424" xr:uid="{00000000-0005-0000-0000-0000800B0000}"/>
    <cellStyle name="Currency 5 2 2 2 2 2 6 2" xfId="6708" xr:uid="{00000000-0005-0000-0000-0000810B0000}"/>
    <cellStyle name="Currency 5 2 2 2 2 2 6 2 2" xfId="15158" xr:uid="{73B047D9-8C6B-4C86-8AE4-5DD1507CA6F5}"/>
    <cellStyle name="Currency 5 2 2 2 2 2 6 2 3" xfId="23605" xr:uid="{FF8E4992-7A4F-4419-96C8-A2C3AF35114C}"/>
    <cellStyle name="Currency 5 2 2 2 2 2 6 3" xfId="10940" xr:uid="{A237C641-28C6-4953-B41D-E54E2B1EBF86}"/>
    <cellStyle name="Currency 5 2 2 2 2 2 6 4" xfId="19388" xr:uid="{2B40C98E-1595-4E2E-BDFF-9D7BB8EA96EB}"/>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8 2 2" xfId="15475" xr:uid="{46C3F752-1829-440B-8FB8-A2CEE8B0B446}"/>
    <cellStyle name="Currency 5 2 2 2 2 2 8 2 3" xfId="23922" xr:uid="{C835F556-2E1B-41A3-9212-468EE34DB406}"/>
    <cellStyle name="Currency 5 2 2 2 2 2 8 3" xfId="11257" xr:uid="{744B6BF0-B700-46F8-95D6-D2679C744C6A}"/>
    <cellStyle name="Currency 5 2 2 2 2 2 8 4" xfId="19705" xr:uid="{877D7937-4067-4B25-8742-A153CCEFEAAC}"/>
    <cellStyle name="Currency 5 2 2 2 2 2 9" xfId="4642" xr:uid="{00000000-0005-0000-0000-0000850B0000}"/>
    <cellStyle name="Currency 5 2 2 2 2 2 9 2" xfId="13092" xr:uid="{563589C5-2DAC-482A-8AEA-F1126BFF72BF}"/>
    <cellStyle name="Currency 5 2 2 2 2 2 9 3" xfId="21539" xr:uid="{8DA260A4-4A28-4581-9598-492310162BA3}"/>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2 2 2" xfId="15650" xr:uid="{E11524DB-3219-4F7F-928F-573F18706A61}"/>
    <cellStyle name="Currency 5 2 2 2 2 3 2 2 3" xfId="24097" xr:uid="{A7C7BD2E-88C8-4915-A3C6-45AEDA89A73E}"/>
    <cellStyle name="Currency 5 2 2 2 2 3 2 3" xfId="11432" xr:uid="{67E280AF-20FC-4F5C-B3E0-72A294528758}"/>
    <cellStyle name="Currency 5 2 2 2 2 3 2 4" xfId="19880" xr:uid="{8F64D22E-5319-4B4D-9FBF-F28391A4E2B0}"/>
    <cellStyle name="Currency 5 2 2 2 2 3 3" xfId="5055" xr:uid="{00000000-0005-0000-0000-0000890B0000}"/>
    <cellStyle name="Currency 5 2 2 2 2 3 3 2" xfId="13505" xr:uid="{68C643A3-DC2A-4C17-9BC8-C2DC52A7AB15}"/>
    <cellStyle name="Currency 5 2 2 2 2 3 3 3" xfId="21952" xr:uid="{0A83D827-874C-489F-B81C-8CC42FA0CFE0}"/>
    <cellStyle name="Currency 5 2 2 2 2 3 4" xfId="9287" xr:uid="{AD4501F8-0B97-4C0F-816B-B5EA600A59BD}"/>
    <cellStyle name="Currency 5 2 2 2 2 3 5" xfId="17735" xr:uid="{7B9FC5B2-D47E-4C16-A78F-0DE030B36218}"/>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2 2 2" xfId="16063" xr:uid="{79930CE2-D198-47C2-BE7F-9DA410F3FB54}"/>
    <cellStyle name="Currency 5 2 2 2 2 4 2 2 3" xfId="24510" xr:uid="{2C95F6BB-7E5F-4BE6-BA15-F981BE403252}"/>
    <cellStyle name="Currency 5 2 2 2 2 4 2 3" xfId="11845" xr:uid="{A0AFF3A2-2353-40E5-8148-471CD1CBAABA}"/>
    <cellStyle name="Currency 5 2 2 2 2 4 2 4" xfId="20293" xr:uid="{F48498D6-BC85-4AF1-B595-E5893CBF5565}"/>
    <cellStyle name="Currency 5 2 2 2 2 4 3" xfId="5468" xr:uid="{00000000-0005-0000-0000-00008D0B0000}"/>
    <cellStyle name="Currency 5 2 2 2 2 4 3 2" xfId="13918" xr:uid="{091C12E3-50DF-464D-B0EF-4FF4EA270904}"/>
    <cellStyle name="Currency 5 2 2 2 2 4 3 3" xfId="22365" xr:uid="{91E2D39C-CC5D-49C1-BEBD-39F698634B0E}"/>
    <cellStyle name="Currency 5 2 2 2 2 4 4" xfId="9700" xr:uid="{46255681-0FE5-4456-BF6B-F53578E8D052}"/>
    <cellStyle name="Currency 5 2 2 2 2 4 5" xfId="18148" xr:uid="{36B415B2-5D8E-4807-B1F5-BAD89F78ACEC}"/>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2 2 2" xfId="16476" xr:uid="{B57C0546-16B7-40CC-BFBD-A1B72A5FE224}"/>
    <cellStyle name="Currency 5 2 2 2 2 5 2 2 3" xfId="24923" xr:uid="{481B569A-8114-4632-A817-233FCD8CE88C}"/>
    <cellStyle name="Currency 5 2 2 2 2 5 2 3" xfId="12258" xr:uid="{763C1FAF-4BBA-4D4D-8F06-2CABA2735A74}"/>
    <cellStyle name="Currency 5 2 2 2 2 5 2 4" xfId="20706" xr:uid="{7C364E0C-EB2A-40FC-B70F-04B864E42122}"/>
    <cellStyle name="Currency 5 2 2 2 2 5 3" xfId="5881" xr:uid="{00000000-0005-0000-0000-0000910B0000}"/>
    <cellStyle name="Currency 5 2 2 2 2 5 3 2" xfId="14331" xr:uid="{B8F1C797-237F-47C0-872B-BB0053C84B0E}"/>
    <cellStyle name="Currency 5 2 2 2 2 5 3 3" xfId="22778" xr:uid="{14BAA9DC-0933-4C25-B55B-B8A9B127CE3F}"/>
    <cellStyle name="Currency 5 2 2 2 2 5 4" xfId="10113" xr:uid="{E7DA6BEC-78DC-4F5C-8EB3-632ED4BD0EE0}"/>
    <cellStyle name="Currency 5 2 2 2 2 5 5" xfId="18561" xr:uid="{DEB3C2EF-2701-4541-BE30-74E0876F5F4E}"/>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2 2 2" xfId="16889" xr:uid="{864ED87C-03A4-4D0A-B3C3-F9C4A4AAF762}"/>
    <cellStyle name="Currency 5 2 2 2 2 6 2 2 3" xfId="25336" xr:uid="{97D978E0-4D2B-4E24-BF3F-5D43ABEAC04A}"/>
    <cellStyle name="Currency 5 2 2 2 2 6 2 3" xfId="12671" xr:uid="{363F6F41-4DB4-4954-A7BF-E4444FBF83E0}"/>
    <cellStyle name="Currency 5 2 2 2 2 6 2 4" xfId="21119" xr:uid="{4591C422-639D-41F9-86D2-C87B16A45AE1}"/>
    <cellStyle name="Currency 5 2 2 2 2 6 3" xfId="6294" xr:uid="{00000000-0005-0000-0000-0000950B0000}"/>
    <cellStyle name="Currency 5 2 2 2 2 6 3 2" xfId="14744" xr:uid="{FAA8B105-662E-49E4-A92F-32BFFC3F13CE}"/>
    <cellStyle name="Currency 5 2 2 2 2 6 3 3" xfId="23191" xr:uid="{72685208-BCB2-45B5-B8D4-F9AA1B9DB3CE}"/>
    <cellStyle name="Currency 5 2 2 2 2 6 4" xfId="10526" xr:uid="{61B0B006-338D-4D9F-8C1F-50C74E80919D}"/>
    <cellStyle name="Currency 5 2 2 2 2 6 5" xfId="18974" xr:uid="{280764C0-AE5B-404D-8F9C-92E6ED32E299}"/>
    <cellStyle name="Currency 5 2 2 2 2 7" xfId="2423" xr:uid="{00000000-0005-0000-0000-0000960B0000}"/>
    <cellStyle name="Currency 5 2 2 2 2 7 2" xfId="6707" xr:uid="{00000000-0005-0000-0000-0000970B0000}"/>
    <cellStyle name="Currency 5 2 2 2 2 7 2 2" xfId="15157" xr:uid="{5135EF0F-9F27-4C8E-BA42-F795F87C544A}"/>
    <cellStyle name="Currency 5 2 2 2 2 7 2 3" xfId="23604" xr:uid="{D053FE8B-AD09-41B8-B98C-E7E342895CCA}"/>
    <cellStyle name="Currency 5 2 2 2 2 7 3" xfId="10939" xr:uid="{0DC3F569-D8AB-46FB-BFAA-C2C353D437E0}"/>
    <cellStyle name="Currency 5 2 2 2 2 7 4" xfId="19387" xr:uid="{54BB323E-F1BC-4D5A-AADA-1254FFA85372}"/>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2 9 2 2" xfId="15474" xr:uid="{1330E819-DDB9-4519-B999-3E64DC5AF438}"/>
    <cellStyle name="Currency 5 2 2 2 2 9 2 3" xfId="23921" xr:uid="{B573874C-7B66-4596-967C-943B6B10292F}"/>
    <cellStyle name="Currency 5 2 2 2 2 9 3" xfId="11256" xr:uid="{1E752957-FAB9-45BD-94FE-18448C6C3504}"/>
    <cellStyle name="Currency 5 2 2 2 2 9 4" xfId="19704" xr:uid="{EBB49DDD-5EED-4C07-80AD-F0E6F01DDE88}"/>
    <cellStyle name="Currency 5 2 2 2 3" xfId="199" xr:uid="{00000000-0005-0000-0000-00009B0B0000}"/>
    <cellStyle name="Currency 5 2 2 2 3 10" xfId="8875" xr:uid="{328C63E3-08DB-4895-B768-B2C0018B4450}"/>
    <cellStyle name="Currency 5 2 2 2 3 11" xfId="17323" xr:uid="{FFB43F38-E883-45AF-8724-33B46265B2F9}"/>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2 2 2" xfId="15652" xr:uid="{AB00B5F5-FCB0-40CC-95D3-2B8CFAA6405C}"/>
    <cellStyle name="Currency 5 2 2 2 3 2 2 2 3" xfId="24099" xr:uid="{76DA33BA-5BF8-4581-A19D-C875AEBD191E}"/>
    <cellStyle name="Currency 5 2 2 2 3 2 2 3" xfId="11434" xr:uid="{C5540314-F43A-4A94-8720-F084794D8A31}"/>
    <cellStyle name="Currency 5 2 2 2 3 2 2 4" xfId="19882" xr:uid="{E9522992-DB39-45E7-811C-66DC8E33B51A}"/>
    <cellStyle name="Currency 5 2 2 2 3 2 3" xfId="5057" xr:uid="{00000000-0005-0000-0000-00009F0B0000}"/>
    <cellStyle name="Currency 5 2 2 2 3 2 3 2" xfId="13507" xr:uid="{D4631C18-1EF4-4E74-B48A-73526B71FCB4}"/>
    <cellStyle name="Currency 5 2 2 2 3 2 3 3" xfId="21954" xr:uid="{6489971F-4AFE-4BA2-9536-B1B8D111E9F1}"/>
    <cellStyle name="Currency 5 2 2 2 3 2 4" xfId="9289" xr:uid="{753DB64F-493C-4D87-A42A-22F5E29B2836}"/>
    <cellStyle name="Currency 5 2 2 2 3 2 5" xfId="17737" xr:uid="{166D5F9A-DB6A-4770-83D5-D030B9E3A40C}"/>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2 2 2" xfId="16065" xr:uid="{5B244C44-5EC3-46D8-B809-EEDE0A45631C}"/>
    <cellStyle name="Currency 5 2 2 2 3 3 2 2 3" xfId="24512" xr:uid="{C357BC26-F255-47B5-ACEA-0247582FA06B}"/>
    <cellStyle name="Currency 5 2 2 2 3 3 2 3" xfId="11847" xr:uid="{D17CFB80-970C-446D-B393-6D31754B9C76}"/>
    <cellStyle name="Currency 5 2 2 2 3 3 2 4" xfId="20295" xr:uid="{BFE7B34E-7146-4567-BC41-737B157B639D}"/>
    <cellStyle name="Currency 5 2 2 2 3 3 3" xfId="5470" xr:uid="{00000000-0005-0000-0000-0000A30B0000}"/>
    <cellStyle name="Currency 5 2 2 2 3 3 3 2" xfId="13920" xr:uid="{AA27041C-6151-4034-B7F5-4A5597CE098B}"/>
    <cellStyle name="Currency 5 2 2 2 3 3 3 3" xfId="22367" xr:uid="{C7D94EE8-2897-4587-B3C4-3F9DB42B87F9}"/>
    <cellStyle name="Currency 5 2 2 2 3 3 4" xfId="9702" xr:uid="{76209DA1-FB14-4AD2-B5A4-F92F0CA921B7}"/>
    <cellStyle name="Currency 5 2 2 2 3 3 5" xfId="18150" xr:uid="{4969BD36-1A52-432F-8D76-F4161CE06504}"/>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2 2 2" xfId="16478" xr:uid="{65D24618-374B-4DAC-82BC-09065CC48FF7}"/>
    <cellStyle name="Currency 5 2 2 2 3 4 2 2 3" xfId="24925" xr:uid="{2881BB1B-CC0C-432D-885F-96EE22E8FFF9}"/>
    <cellStyle name="Currency 5 2 2 2 3 4 2 3" xfId="12260" xr:uid="{43B36151-75D8-4284-A794-9C5E4CB0C615}"/>
    <cellStyle name="Currency 5 2 2 2 3 4 2 4" xfId="20708" xr:uid="{6CAFF265-ED11-4CD7-8775-55A8B9A7EB2E}"/>
    <cellStyle name="Currency 5 2 2 2 3 4 3" xfId="5883" xr:uid="{00000000-0005-0000-0000-0000A70B0000}"/>
    <cellStyle name="Currency 5 2 2 2 3 4 3 2" xfId="14333" xr:uid="{CACB3DE8-ED10-4D3A-9376-8594D8B6D8CB}"/>
    <cellStyle name="Currency 5 2 2 2 3 4 3 3" xfId="22780" xr:uid="{8F27AF31-879E-4BA6-96EF-36BFEF5EC2DB}"/>
    <cellStyle name="Currency 5 2 2 2 3 4 4" xfId="10115" xr:uid="{78D6201A-5758-41AA-8A73-84138388A6A4}"/>
    <cellStyle name="Currency 5 2 2 2 3 4 5" xfId="18563" xr:uid="{56C41F44-FDF0-4578-B05C-7F3F17736AA5}"/>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2 2 2" xfId="16891" xr:uid="{A426290C-CD3A-4519-A305-6A0498C75FE6}"/>
    <cellStyle name="Currency 5 2 2 2 3 5 2 2 3" xfId="25338" xr:uid="{A580A62E-31C4-4278-AFD5-7E495AF2576B}"/>
    <cellStyle name="Currency 5 2 2 2 3 5 2 3" xfId="12673" xr:uid="{39DD76C6-E4E8-4AE5-88D3-DB60645CEF13}"/>
    <cellStyle name="Currency 5 2 2 2 3 5 2 4" xfId="21121" xr:uid="{A8B68129-7EC1-4236-85AF-998BC690D137}"/>
    <cellStyle name="Currency 5 2 2 2 3 5 3" xfId="6296" xr:uid="{00000000-0005-0000-0000-0000AB0B0000}"/>
    <cellStyle name="Currency 5 2 2 2 3 5 3 2" xfId="14746" xr:uid="{3F6D6078-77FF-4474-B99D-DE8BF6FB0827}"/>
    <cellStyle name="Currency 5 2 2 2 3 5 3 3" xfId="23193" xr:uid="{B2EF1807-8832-4D0B-ACE5-79956E4DE5B6}"/>
    <cellStyle name="Currency 5 2 2 2 3 5 4" xfId="10528" xr:uid="{E1EF3895-35F0-4531-B335-6981BB51F214}"/>
    <cellStyle name="Currency 5 2 2 2 3 5 5" xfId="18976" xr:uid="{4E0A1C12-3B2F-45CB-B546-5E52A38A2D59}"/>
    <cellStyle name="Currency 5 2 2 2 3 6" xfId="2425" xr:uid="{00000000-0005-0000-0000-0000AC0B0000}"/>
    <cellStyle name="Currency 5 2 2 2 3 6 2" xfId="6709" xr:uid="{00000000-0005-0000-0000-0000AD0B0000}"/>
    <cellStyle name="Currency 5 2 2 2 3 6 2 2" xfId="15159" xr:uid="{CCC3F788-E0E4-4954-A66E-7038821750B6}"/>
    <cellStyle name="Currency 5 2 2 2 3 6 2 3" xfId="23606" xr:uid="{189D814E-B552-441C-811D-2A5BEED18599}"/>
    <cellStyle name="Currency 5 2 2 2 3 6 3" xfId="10941" xr:uid="{FFD3A680-C0A8-4EF1-AFF2-4BDF9265FD64}"/>
    <cellStyle name="Currency 5 2 2 2 3 6 4" xfId="19389" xr:uid="{29E15F8E-AD1F-4806-A926-EBC8449E4899}"/>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8 2 2" xfId="15476" xr:uid="{AA59EFC7-220F-4922-B467-B8EAD07BD3F0}"/>
    <cellStyle name="Currency 5 2 2 2 3 8 2 3" xfId="23923" xr:uid="{82BA6A58-F498-4258-BDA1-97A6B18BC908}"/>
    <cellStyle name="Currency 5 2 2 2 3 8 3" xfId="11258" xr:uid="{865B46A9-6D8C-4587-9628-B728B3E3134B}"/>
    <cellStyle name="Currency 5 2 2 2 3 8 4" xfId="19706" xr:uid="{5C67D42E-B963-4708-A81A-1D01A007120A}"/>
    <cellStyle name="Currency 5 2 2 2 3 9" xfId="4643" xr:uid="{00000000-0005-0000-0000-0000B10B0000}"/>
    <cellStyle name="Currency 5 2 2 2 3 9 2" xfId="13093" xr:uid="{97E94447-8919-46DD-8A29-5C7DB6B2428B}"/>
    <cellStyle name="Currency 5 2 2 2 3 9 3" xfId="21540" xr:uid="{6BE2D25B-E1AE-49CC-B124-B0E050B56436}"/>
    <cellStyle name="Currency 5 2 2 2 4" xfId="723" xr:uid="{00000000-0005-0000-0000-0000B20B0000}"/>
    <cellStyle name="Currency 5 2 2 2 4 2" xfId="2977" xr:uid="{00000000-0005-0000-0000-0000B30B0000}"/>
    <cellStyle name="Currency 5 2 2 2 4 2 2" xfId="7199" xr:uid="{00000000-0005-0000-0000-0000B40B0000}"/>
    <cellStyle name="Currency 5 2 2 2 4 2 2 2" xfId="15649" xr:uid="{6F1A25C7-05A7-4193-B902-B9902762C60E}"/>
    <cellStyle name="Currency 5 2 2 2 4 2 2 3" xfId="24096" xr:uid="{7E9595AB-E49C-40C8-A14C-F7B4B570A620}"/>
    <cellStyle name="Currency 5 2 2 2 4 2 3" xfId="11431" xr:uid="{6A8B7173-8E5F-4A0E-83B5-345B10B76574}"/>
    <cellStyle name="Currency 5 2 2 2 4 2 4" xfId="19879" xr:uid="{45C3F717-701C-42EB-AE3E-DDF238F59482}"/>
    <cellStyle name="Currency 5 2 2 2 4 3" xfId="5054" xr:uid="{00000000-0005-0000-0000-0000B50B0000}"/>
    <cellStyle name="Currency 5 2 2 2 4 3 2" xfId="13504" xr:uid="{B5A1ED74-F6E2-4C39-8A2F-75369F20B260}"/>
    <cellStyle name="Currency 5 2 2 2 4 3 3" xfId="21951" xr:uid="{EB091094-1B9E-4C3F-8066-9DF329183670}"/>
    <cellStyle name="Currency 5 2 2 2 4 4" xfId="9286" xr:uid="{E039203F-B6FF-42DB-A99A-0139889EF996}"/>
    <cellStyle name="Currency 5 2 2 2 4 5" xfId="17734" xr:uid="{E2E5EE46-809A-4CF3-A1FA-9A50D06EB239}"/>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2 2 2" xfId="16062" xr:uid="{10E75FC6-754F-4EDB-8DA3-4E131A947F28}"/>
    <cellStyle name="Currency 5 2 2 2 5 2 2 3" xfId="24509" xr:uid="{32F4DE8B-1566-4ABA-803E-8A551CA84A76}"/>
    <cellStyle name="Currency 5 2 2 2 5 2 3" xfId="11844" xr:uid="{89313FF6-408C-4415-B7AA-E228ED55641A}"/>
    <cellStyle name="Currency 5 2 2 2 5 2 4" xfId="20292" xr:uid="{3C652B7F-E908-4E37-9D43-5D0BA67E70CF}"/>
    <cellStyle name="Currency 5 2 2 2 5 3" xfId="5467" xr:uid="{00000000-0005-0000-0000-0000B90B0000}"/>
    <cellStyle name="Currency 5 2 2 2 5 3 2" xfId="13917" xr:uid="{5A805615-654C-41D7-B335-21DA4A1FD3E3}"/>
    <cellStyle name="Currency 5 2 2 2 5 3 3" xfId="22364" xr:uid="{0185F1F6-3342-41A0-8AAB-E826C80BA828}"/>
    <cellStyle name="Currency 5 2 2 2 5 4" xfId="9699" xr:uid="{A17C63B3-5200-469E-A2A0-4BD9A9A6B1DC}"/>
    <cellStyle name="Currency 5 2 2 2 5 5" xfId="18147" xr:uid="{A91E98C5-1C12-4268-8CD5-DCDEDC6CB3A9}"/>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2 2 2" xfId="16475" xr:uid="{C7715D43-125A-44CA-B5BB-63A784EEB739}"/>
    <cellStyle name="Currency 5 2 2 2 6 2 2 3" xfId="24922" xr:uid="{5A078B92-B25E-46C9-A19E-07D75E77C5CF}"/>
    <cellStyle name="Currency 5 2 2 2 6 2 3" xfId="12257" xr:uid="{CDE85E18-D2E1-4363-AE36-08C878E1D80E}"/>
    <cellStyle name="Currency 5 2 2 2 6 2 4" xfId="20705" xr:uid="{9CF4F741-6F05-4251-8DD3-6BBCCC1D6D8A}"/>
    <cellStyle name="Currency 5 2 2 2 6 3" xfId="5880" xr:uid="{00000000-0005-0000-0000-0000BD0B0000}"/>
    <cellStyle name="Currency 5 2 2 2 6 3 2" xfId="14330" xr:uid="{5A31CF46-337E-4A92-8E49-BC220BBC3DBE}"/>
    <cellStyle name="Currency 5 2 2 2 6 3 3" xfId="22777" xr:uid="{41C79B21-77BF-4B20-8B05-C36F16ABA3C7}"/>
    <cellStyle name="Currency 5 2 2 2 6 4" xfId="10112" xr:uid="{AF541105-D2E5-479E-96A3-6DEA1BD63F68}"/>
    <cellStyle name="Currency 5 2 2 2 6 5" xfId="18560" xr:uid="{71B501A4-46CD-495B-9BF0-61CAF17017E9}"/>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2 2 2" xfId="16888" xr:uid="{8F1AB10B-24A5-4E2E-89AE-D22369FBF5CB}"/>
    <cellStyle name="Currency 5 2 2 2 7 2 2 3" xfId="25335" xr:uid="{5E5B6DB2-F414-447B-8230-A52F245816AE}"/>
    <cellStyle name="Currency 5 2 2 2 7 2 3" xfId="12670" xr:uid="{1265D243-20E8-4D35-96EC-8C44C41646FD}"/>
    <cellStyle name="Currency 5 2 2 2 7 2 4" xfId="21118" xr:uid="{FC088386-6EAD-4256-BF4F-FB5CD367B9AD}"/>
    <cellStyle name="Currency 5 2 2 2 7 3" xfId="6293" xr:uid="{00000000-0005-0000-0000-0000C10B0000}"/>
    <cellStyle name="Currency 5 2 2 2 7 3 2" xfId="14743" xr:uid="{8AF66F7E-F040-4639-810A-7F5C5F5CD400}"/>
    <cellStyle name="Currency 5 2 2 2 7 3 3" xfId="23190" xr:uid="{2149DF63-6F18-4152-8DF9-37F83D5798E8}"/>
    <cellStyle name="Currency 5 2 2 2 7 4" xfId="10525" xr:uid="{2EB720A0-9D5E-4B65-A671-67F703186D0A}"/>
    <cellStyle name="Currency 5 2 2 2 7 5" xfId="18973" xr:uid="{A5DEBCD4-36DF-49B4-8396-E4C1953BFBA7}"/>
    <cellStyle name="Currency 5 2 2 2 8" xfId="2422" xr:uid="{00000000-0005-0000-0000-0000C20B0000}"/>
    <cellStyle name="Currency 5 2 2 2 8 2" xfId="6706" xr:uid="{00000000-0005-0000-0000-0000C30B0000}"/>
    <cellStyle name="Currency 5 2 2 2 8 2 2" xfId="15156" xr:uid="{E3C0CE01-E2DC-436C-BB6E-51D237464E97}"/>
    <cellStyle name="Currency 5 2 2 2 8 2 3" xfId="23603" xr:uid="{CDC24EDE-4FCD-41E9-867B-0547E470FF3E}"/>
    <cellStyle name="Currency 5 2 2 2 8 3" xfId="10938" xr:uid="{7D2CB068-3BDF-47B0-BE8C-826015127E36}"/>
    <cellStyle name="Currency 5 2 2 2 8 4" xfId="19386" xr:uid="{FCC0964E-B57F-43A4-AB46-8B8A1A686A0F}"/>
    <cellStyle name="Currency 5 2 2 2 9" xfId="2719" xr:uid="{00000000-0005-0000-0000-0000C40B0000}"/>
    <cellStyle name="Currency 5 2 2 3" xfId="200" xr:uid="{00000000-0005-0000-0000-0000C50B0000}"/>
    <cellStyle name="Currency 5 2 2 3 10" xfId="4644" xr:uid="{00000000-0005-0000-0000-0000C60B0000}"/>
    <cellStyle name="Currency 5 2 2 3 10 2" xfId="13094" xr:uid="{332A3B4C-21AA-4A2B-B245-CB1CEF22057A}"/>
    <cellStyle name="Currency 5 2 2 3 10 3" xfId="21541" xr:uid="{BA3DBD6D-F985-4AFB-9200-FC682BE1420E}"/>
    <cellStyle name="Currency 5 2 2 3 11" xfId="8876" xr:uid="{AABCEA7B-9930-4543-B901-867172099CFE}"/>
    <cellStyle name="Currency 5 2 2 3 12" xfId="17324" xr:uid="{48EF97AE-0B80-47F9-A9AE-1E825DDCD88A}"/>
    <cellStyle name="Currency 5 2 2 3 2" xfId="201" xr:uid="{00000000-0005-0000-0000-0000C70B0000}"/>
    <cellStyle name="Currency 5 2 2 3 2 10" xfId="8877" xr:uid="{9696F93A-8090-484B-9C37-8F5CD1A2053C}"/>
    <cellStyle name="Currency 5 2 2 3 2 11" xfId="17325" xr:uid="{D3F5ADC1-AFED-4C15-98E7-773CBCF603CD}"/>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2 2 2" xfId="15654" xr:uid="{E7F29515-673C-4DAD-8EAB-C8C18AC817D8}"/>
    <cellStyle name="Currency 5 2 2 3 2 2 2 2 3" xfId="24101" xr:uid="{712E5BF7-4BFE-4490-B951-5DC0BEE9F4AC}"/>
    <cellStyle name="Currency 5 2 2 3 2 2 2 3" xfId="11436" xr:uid="{617E3601-BEE9-42C9-A4CE-6262644F075C}"/>
    <cellStyle name="Currency 5 2 2 3 2 2 2 4" xfId="19884" xr:uid="{6A367366-A076-44E8-A0AA-FD07EDAC76FC}"/>
    <cellStyle name="Currency 5 2 2 3 2 2 3" xfId="5059" xr:uid="{00000000-0005-0000-0000-0000CB0B0000}"/>
    <cellStyle name="Currency 5 2 2 3 2 2 3 2" xfId="13509" xr:uid="{D0FF45DD-5253-47F0-B7BE-684C6EB20E67}"/>
    <cellStyle name="Currency 5 2 2 3 2 2 3 3" xfId="21956" xr:uid="{9DBF1931-1F53-40AD-AA0D-63F2E7689601}"/>
    <cellStyle name="Currency 5 2 2 3 2 2 4" xfId="9291" xr:uid="{BDE64B69-0723-4035-99EE-3C08D004154C}"/>
    <cellStyle name="Currency 5 2 2 3 2 2 5" xfId="17739" xr:uid="{241582FB-E7C6-4CB3-A3A9-1BF4AEC06A85}"/>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2 2 2" xfId="16067" xr:uid="{AA79A9A7-0991-4B06-943A-9D68F0AC55C3}"/>
    <cellStyle name="Currency 5 2 2 3 2 3 2 2 3" xfId="24514" xr:uid="{1F2DBB12-93D4-48F1-8A7F-E263F6E3C24B}"/>
    <cellStyle name="Currency 5 2 2 3 2 3 2 3" xfId="11849" xr:uid="{4D85D886-9868-415D-98D1-8183176F9F6B}"/>
    <cellStyle name="Currency 5 2 2 3 2 3 2 4" xfId="20297" xr:uid="{2BE865DD-FB46-45A8-85A0-D06B54B3AA75}"/>
    <cellStyle name="Currency 5 2 2 3 2 3 3" xfId="5472" xr:uid="{00000000-0005-0000-0000-0000CF0B0000}"/>
    <cellStyle name="Currency 5 2 2 3 2 3 3 2" xfId="13922" xr:uid="{A78280A7-3598-44E4-9E61-BCBF2454836A}"/>
    <cellStyle name="Currency 5 2 2 3 2 3 3 3" xfId="22369" xr:uid="{EF1BDFEA-C07E-4AE7-865E-2E699B230BFC}"/>
    <cellStyle name="Currency 5 2 2 3 2 3 4" xfId="9704" xr:uid="{5198821E-923A-4B66-BD9A-6CFDBD94B362}"/>
    <cellStyle name="Currency 5 2 2 3 2 3 5" xfId="18152" xr:uid="{228C1CE1-5498-4C07-B829-1290E647C853}"/>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2 2 2" xfId="16480" xr:uid="{E3613975-8E53-4564-9FCE-50FE7175F546}"/>
    <cellStyle name="Currency 5 2 2 3 2 4 2 2 3" xfId="24927" xr:uid="{11E5FF7F-BF25-4D73-A325-DD3E8D1E85E2}"/>
    <cellStyle name="Currency 5 2 2 3 2 4 2 3" xfId="12262" xr:uid="{78055CC4-F849-4601-80D8-2021045AC181}"/>
    <cellStyle name="Currency 5 2 2 3 2 4 2 4" xfId="20710" xr:uid="{EC4FF94E-1B21-4720-86D6-EC5C856345F8}"/>
    <cellStyle name="Currency 5 2 2 3 2 4 3" xfId="5885" xr:uid="{00000000-0005-0000-0000-0000D30B0000}"/>
    <cellStyle name="Currency 5 2 2 3 2 4 3 2" xfId="14335" xr:uid="{C822E245-F3EA-4758-8808-07E4A6ACC976}"/>
    <cellStyle name="Currency 5 2 2 3 2 4 3 3" xfId="22782" xr:uid="{1F872E59-FC4D-488D-8D35-E41F519560B8}"/>
    <cellStyle name="Currency 5 2 2 3 2 4 4" xfId="10117" xr:uid="{2408C65A-37ED-482C-9E61-7D561EEA3B42}"/>
    <cellStyle name="Currency 5 2 2 3 2 4 5" xfId="18565" xr:uid="{9826F631-ACD4-4E99-9129-361EF6AB61C4}"/>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2 2 2" xfId="16893" xr:uid="{8887E276-1276-4980-A83F-8D542F3BC7AD}"/>
    <cellStyle name="Currency 5 2 2 3 2 5 2 2 3" xfId="25340" xr:uid="{9FFE5DA0-D3C5-4C9E-B526-74224A70DC68}"/>
    <cellStyle name="Currency 5 2 2 3 2 5 2 3" xfId="12675" xr:uid="{5CF2C5CB-CBDB-47E4-B6E2-F5863973CFEC}"/>
    <cellStyle name="Currency 5 2 2 3 2 5 2 4" xfId="21123" xr:uid="{0F1DCA1F-9003-4D56-9F69-B63682C1FFD4}"/>
    <cellStyle name="Currency 5 2 2 3 2 5 3" xfId="6298" xr:uid="{00000000-0005-0000-0000-0000D70B0000}"/>
    <cellStyle name="Currency 5 2 2 3 2 5 3 2" xfId="14748" xr:uid="{4ECC3665-2454-4733-8E56-7B863338DC39}"/>
    <cellStyle name="Currency 5 2 2 3 2 5 3 3" xfId="23195" xr:uid="{D4E44686-4BA0-436D-9E9B-E2B5EBEECED9}"/>
    <cellStyle name="Currency 5 2 2 3 2 5 4" xfId="10530" xr:uid="{0F637CE7-7DA6-4CA5-BC89-26E95A692E66}"/>
    <cellStyle name="Currency 5 2 2 3 2 5 5" xfId="18978" xr:uid="{70A746F7-36B4-439B-9F7F-6A6F7BCC4DA8}"/>
    <cellStyle name="Currency 5 2 2 3 2 6" xfId="2427" xr:uid="{00000000-0005-0000-0000-0000D80B0000}"/>
    <cellStyle name="Currency 5 2 2 3 2 6 2" xfId="6711" xr:uid="{00000000-0005-0000-0000-0000D90B0000}"/>
    <cellStyle name="Currency 5 2 2 3 2 6 2 2" xfId="15161" xr:uid="{464BDCCC-AE8C-45EC-AE1A-F86090F357DC}"/>
    <cellStyle name="Currency 5 2 2 3 2 6 2 3" xfId="23608" xr:uid="{F2BB3CCE-034A-4C70-A8B3-7AFD5E4355EF}"/>
    <cellStyle name="Currency 5 2 2 3 2 6 3" xfId="10943" xr:uid="{AA97001F-BA5A-44E6-A541-5DF74AE0A9E9}"/>
    <cellStyle name="Currency 5 2 2 3 2 6 4" xfId="19391" xr:uid="{0BBEC2FD-B3A4-44D8-B57E-F48A63301226}"/>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8 2 2" xfId="15478" xr:uid="{F6A1C52A-07BA-464E-BB7B-0F7FC44FB215}"/>
    <cellStyle name="Currency 5 2 2 3 2 8 2 3" xfId="23925" xr:uid="{5C29963A-CFDF-4F66-8590-F1B6AD1BC7B8}"/>
    <cellStyle name="Currency 5 2 2 3 2 8 3" xfId="11260" xr:uid="{D4BEE74D-60EE-4F1B-821C-D86C3F6D5A27}"/>
    <cellStyle name="Currency 5 2 2 3 2 8 4" xfId="19708" xr:uid="{43C1A540-11C4-43CC-9FC2-E104D48A2F81}"/>
    <cellStyle name="Currency 5 2 2 3 2 9" xfId="4645" xr:uid="{00000000-0005-0000-0000-0000DD0B0000}"/>
    <cellStyle name="Currency 5 2 2 3 2 9 2" xfId="13095" xr:uid="{D1791FF8-459A-440C-B0C7-BD6932C92797}"/>
    <cellStyle name="Currency 5 2 2 3 2 9 3" xfId="21542" xr:uid="{96BD17FC-03B0-4DDE-8198-5A21113936C6}"/>
    <cellStyle name="Currency 5 2 2 3 3" xfId="727" xr:uid="{00000000-0005-0000-0000-0000DE0B0000}"/>
    <cellStyle name="Currency 5 2 2 3 3 2" xfId="2981" xr:uid="{00000000-0005-0000-0000-0000DF0B0000}"/>
    <cellStyle name="Currency 5 2 2 3 3 2 2" xfId="7203" xr:uid="{00000000-0005-0000-0000-0000E00B0000}"/>
    <cellStyle name="Currency 5 2 2 3 3 2 2 2" xfId="15653" xr:uid="{C8D2A0EC-5250-4E8F-B829-40CA78B1050B}"/>
    <cellStyle name="Currency 5 2 2 3 3 2 2 3" xfId="24100" xr:uid="{376359A6-05FC-4AF7-AE48-A3677367C3CE}"/>
    <cellStyle name="Currency 5 2 2 3 3 2 3" xfId="11435" xr:uid="{44D10215-FF21-4832-B107-30204321E400}"/>
    <cellStyle name="Currency 5 2 2 3 3 2 4" xfId="19883" xr:uid="{6198305A-506D-4162-84EB-93379C39A4F4}"/>
    <cellStyle name="Currency 5 2 2 3 3 3" xfId="5058" xr:uid="{00000000-0005-0000-0000-0000E10B0000}"/>
    <cellStyle name="Currency 5 2 2 3 3 3 2" xfId="13508" xr:uid="{9634AB5D-C314-4BC0-B4C4-AD09E6A808A2}"/>
    <cellStyle name="Currency 5 2 2 3 3 3 3" xfId="21955" xr:uid="{BA151D8B-489B-4270-A895-09DD0084C2CF}"/>
    <cellStyle name="Currency 5 2 2 3 3 4" xfId="9290" xr:uid="{68FCE6F6-0990-4C32-A7EA-C7DA1C81B1EE}"/>
    <cellStyle name="Currency 5 2 2 3 3 5" xfId="17738" xr:uid="{75818E26-470C-4FAF-9F37-51334825CB1C}"/>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2 2 2" xfId="16066" xr:uid="{C470D970-67B8-4BC4-A7D9-BEA8FD1D98AA}"/>
    <cellStyle name="Currency 5 2 2 3 4 2 2 3" xfId="24513" xr:uid="{9A30B1BC-1E98-426C-A8D9-9FE83EB9209A}"/>
    <cellStyle name="Currency 5 2 2 3 4 2 3" xfId="11848" xr:uid="{6A23782A-E2A0-41DE-91D7-72F5020B56B0}"/>
    <cellStyle name="Currency 5 2 2 3 4 2 4" xfId="20296" xr:uid="{9BE1054C-5BE3-4F4F-9236-EF567B49342D}"/>
    <cellStyle name="Currency 5 2 2 3 4 3" xfId="5471" xr:uid="{00000000-0005-0000-0000-0000E50B0000}"/>
    <cellStyle name="Currency 5 2 2 3 4 3 2" xfId="13921" xr:uid="{C0AF5E98-2D2D-48C9-A398-854156F12910}"/>
    <cellStyle name="Currency 5 2 2 3 4 3 3" xfId="22368" xr:uid="{B308C44F-FA21-43E1-9BFC-6A75C3B26D49}"/>
    <cellStyle name="Currency 5 2 2 3 4 4" xfId="9703" xr:uid="{DF393E6B-1812-42EB-BFBF-A8CAF7E8A0EA}"/>
    <cellStyle name="Currency 5 2 2 3 4 5" xfId="18151" xr:uid="{1735A7C7-D431-4C56-9C22-1272F1828F97}"/>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2 2 2" xfId="16479" xr:uid="{C93A7061-7068-4198-A779-A02A21EA1BCE}"/>
    <cellStyle name="Currency 5 2 2 3 5 2 2 3" xfId="24926" xr:uid="{22669B8E-F6D3-4720-95EE-8118F07F3F99}"/>
    <cellStyle name="Currency 5 2 2 3 5 2 3" xfId="12261" xr:uid="{89E0EA69-A93E-4301-BFDF-CD7C31F2916A}"/>
    <cellStyle name="Currency 5 2 2 3 5 2 4" xfId="20709" xr:uid="{CF756043-A990-4929-B6B6-E747EFB2C03F}"/>
    <cellStyle name="Currency 5 2 2 3 5 3" xfId="5884" xr:uid="{00000000-0005-0000-0000-0000E90B0000}"/>
    <cellStyle name="Currency 5 2 2 3 5 3 2" xfId="14334" xr:uid="{62A9E68C-7727-4CEE-8CCF-F609F55E864F}"/>
    <cellStyle name="Currency 5 2 2 3 5 3 3" xfId="22781" xr:uid="{0E069009-778E-4D7B-88B5-E10C89C12441}"/>
    <cellStyle name="Currency 5 2 2 3 5 4" xfId="10116" xr:uid="{84BAFB73-CAA8-4388-B020-D409CE200D7C}"/>
    <cellStyle name="Currency 5 2 2 3 5 5" xfId="18564" xr:uid="{D2A6F16B-B75E-4D65-9C9A-FD14261659F9}"/>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2 2 2" xfId="16892" xr:uid="{0049A01F-CF44-408F-8E17-A2A6ED994835}"/>
    <cellStyle name="Currency 5 2 2 3 6 2 2 3" xfId="25339" xr:uid="{A73D155B-C677-4907-976C-C1C5A693A6C6}"/>
    <cellStyle name="Currency 5 2 2 3 6 2 3" xfId="12674" xr:uid="{5910818E-0543-4161-BE65-D127E2C7F645}"/>
    <cellStyle name="Currency 5 2 2 3 6 2 4" xfId="21122" xr:uid="{EB400DA4-43B3-49CE-8F49-127209756B59}"/>
    <cellStyle name="Currency 5 2 2 3 6 3" xfId="6297" xr:uid="{00000000-0005-0000-0000-0000ED0B0000}"/>
    <cellStyle name="Currency 5 2 2 3 6 3 2" xfId="14747" xr:uid="{74BF729D-319D-4FC6-A828-05718E3F0F44}"/>
    <cellStyle name="Currency 5 2 2 3 6 3 3" xfId="23194" xr:uid="{87CE137C-BA15-48C2-8F49-CB049A16BEFD}"/>
    <cellStyle name="Currency 5 2 2 3 6 4" xfId="10529" xr:uid="{3A831D18-2FEF-4A9C-A080-3A235A644D4F}"/>
    <cellStyle name="Currency 5 2 2 3 6 5" xfId="18977" xr:uid="{CAD4740B-ED5F-445A-A547-434BD685122A}"/>
    <cellStyle name="Currency 5 2 2 3 7" xfId="2426" xr:uid="{00000000-0005-0000-0000-0000EE0B0000}"/>
    <cellStyle name="Currency 5 2 2 3 7 2" xfId="6710" xr:uid="{00000000-0005-0000-0000-0000EF0B0000}"/>
    <cellStyle name="Currency 5 2 2 3 7 2 2" xfId="15160" xr:uid="{5C146173-DFE1-4EB4-8791-85C2513BAB72}"/>
    <cellStyle name="Currency 5 2 2 3 7 2 3" xfId="23607" xr:uid="{3C30BF96-FCF5-464D-9318-6ECD5EDCC4C7}"/>
    <cellStyle name="Currency 5 2 2 3 7 3" xfId="10942" xr:uid="{28E84ECD-1FEE-4879-B4AD-10301087FB98}"/>
    <cellStyle name="Currency 5 2 2 3 7 4" xfId="19390" xr:uid="{88D4787C-BF3D-4625-9388-39CADDAD6C59}"/>
    <cellStyle name="Currency 5 2 2 3 8" xfId="2723" xr:uid="{00000000-0005-0000-0000-0000F00B0000}"/>
    <cellStyle name="Currency 5 2 2 3 9" xfId="2804" xr:uid="{00000000-0005-0000-0000-0000F10B0000}"/>
    <cellStyle name="Currency 5 2 2 3 9 2" xfId="7027" xr:uid="{00000000-0005-0000-0000-0000F20B0000}"/>
    <cellStyle name="Currency 5 2 2 3 9 2 2" xfId="15477" xr:uid="{42C06CA0-F9BA-4E05-BAFA-AADEDCA42845}"/>
    <cellStyle name="Currency 5 2 2 3 9 2 3" xfId="23924" xr:uid="{7927C8E7-2A8B-4E38-A7E0-F7A59F053762}"/>
    <cellStyle name="Currency 5 2 2 3 9 3" xfId="11259" xr:uid="{1B370B02-89BD-4714-A7A9-00933C06D48A}"/>
    <cellStyle name="Currency 5 2 2 3 9 4" xfId="19707" xr:uid="{2B0B5280-9C80-4832-AD79-AC30C3F96EBE}"/>
    <cellStyle name="Currency 5 2 2 4" xfId="202" xr:uid="{00000000-0005-0000-0000-0000F30B0000}"/>
    <cellStyle name="Currency 5 2 2 4 10" xfId="8878" xr:uid="{BD34A63C-FD3F-481C-9D86-9F23AFC75636}"/>
    <cellStyle name="Currency 5 2 2 4 11" xfId="17326" xr:uid="{415A4D02-F624-4562-993E-9B26EEA58D06}"/>
    <cellStyle name="Currency 5 2 2 4 2" xfId="729" xr:uid="{00000000-0005-0000-0000-0000F40B0000}"/>
    <cellStyle name="Currency 5 2 2 4 2 2" xfId="2983" xr:uid="{00000000-0005-0000-0000-0000F50B0000}"/>
    <cellStyle name="Currency 5 2 2 4 2 2 2" xfId="7205" xr:uid="{00000000-0005-0000-0000-0000F60B0000}"/>
    <cellStyle name="Currency 5 2 2 4 2 2 2 2" xfId="15655" xr:uid="{06F87F69-4E2A-4302-941F-D6C038547023}"/>
    <cellStyle name="Currency 5 2 2 4 2 2 2 3" xfId="24102" xr:uid="{4752BC0B-FB70-4A3E-A4D1-E86B40D103F9}"/>
    <cellStyle name="Currency 5 2 2 4 2 2 3" xfId="11437" xr:uid="{29D9A87C-566B-405F-AC9A-EAEC422E3D43}"/>
    <cellStyle name="Currency 5 2 2 4 2 2 4" xfId="19885" xr:uid="{551D1B72-B0B3-4ADE-BFD0-DF3EEC7DDF1A}"/>
    <cellStyle name="Currency 5 2 2 4 2 3" xfId="5060" xr:uid="{00000000-0005-0000-0000-0000F70B0000}"/>
    <cellStyle name="Currency 5 2 2 4 2 3 2" xfId="13510" xr:uid="{725930F2-2DAB-4B3B-8537-5776F79C45C9}"/>
    <cellStyle name="Currency 5 2 2 4 2 3 3" xfId="21957" xr:uid="{427C7E3C-0F48-45EC-A38A-B2D6587EE0D7}"/>
    <cellStyle name="Currency 5 2 2 4 2 4" xfId="9292" xr:uid="{0CDDF31C-1AF6-4EAE-9F79-14711741D2ED}"/>
    <cellStyle name="Currency 5 2 2 4 2 5" xfId="17740" xr:uid="{F958A64A-0351-4A20-B486-51E52C8FE03F}"/>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2 2 2" xfId="16068" xr:uid="{49C151D3-2DFD-4447-BF84-9511C2971EFC}"/>
    <cellStyle name="Currency 5 2 2 4 3 2 2 3" xfId="24515" xr:uid="{067541F3-96EC-4A6C-8068-6D39139915E0}"/>
    <cellStyle name="Currency 5 2 2 4 3 2 3" xfId="11850" xr:uid="{681B521A-B01E-4C06-AB9F-62A4CC471E72}"/>
    <cellStyle name="Currency 5 2 2 4 3 2 4" xfId="20298" xr:uid="{7AC85463-FE7E-465F-8893-EDBB9D8AAE18}"/>
    <cellStyle name="Currency 5 2 2 4 3 3" xfId="5473" xr:uid="{00000000-0005-0000-0000-0000FB0B0000}"/>
    <cellStyle name="Currency 5 2 2 4 3 3 2" xfId="13923" xr:uid="{A244E99D-026B-4E0E-8E00-819953125BF1}"/>
    <cellStyle name="Currency 5 2 2 4 3 3 3" xfId="22370" xr:uid="{C8B18541-8A3D-4E1D-8B01-5521EED40A51}"/>
    <cellStyle name="Currency 5 2 2 4 3 4" xfId="9705" xr:uid="{C1063159-B28E-4767-AD61-A6F0DD2AD641}"/>
    <cellStyle name="Currency 5 2 2 4 3 5" xfId="18153" xr:uid="{5118FCB0-DDFC-448D-BAA0-B583F74D7A5B}"/>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2 2 2" xfId="16481" xr:uid="{A93F0649-92F7-46C0-B251-C8407980CB83}"/>
    <cellStyle name="Currency 5 2 2 4 4 2 2 3" xfId="24928" xr:uid="{45758A8B-92D9-40B0-B4C6-1757AD3A7C1A}"/>
    <cellStyle name="Currency 5 2 2 4 4 2 3" xfId="12263" xr:uid="{157BED3B-9A3B-4CB6-ACE8-97964E56155F}"/>
    <cellStyle name="Currency 5 2 2 4 4 2 4" xfId="20711" xr:uid="{9181317B-4839-41A8-B637-6A669292CCA7}"/>
    <cellStyle name="Currency 5 2 2 4 4 3" xfId="5886" xr:uid="{00000000-0005-0000-0000-0000FF0B0000}"/>
    <cellStyle name="Currency 5 2 2 4 4 3 2" xfId="14336" xr:uid="{721B18D4-4992-47F0-9F5C-78CF1E7F68EA}"/>
    <cellStyle name="Currency 5 2 2 4 4 3 3" xfId="22783" xr:uid="{0D8452EB-6468-48D1-A5FE-92ED2CBB28C5}"/>
    <cellStyle name="Currency 5 2 2 4 4 4" xfId="10118" xr:uid="{CCA0938D-6812-43E2-8B27-BB322CFADE0F}"/>
    <cellStyle name="Currency 5 2 2 4 4 5" xfId="18566" xr:uid="{95963CD3-1A7B-46BB-87DD-58D7A8A4574F}"/>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2 2 2" xfId="16894" xr:uid="{1D481081-363D-476C-910E-3AFAB7FCF387}"/>
    <cellStyle name="Currency 5 2 2 4 5 2 2 3" xfId="25341" xr:uid="{B9DED03F-E662-4FBC-B241-D0461942A4E7}"/>
    <cellStyle name="Currency 5 2 2 4 5 2 3" xfId="12676" xr:uid="{8DB224DB-A757-490F-B6DA-A6D6DEA5057E}"/>
    <cellStyle name="Currency 5 2 2 4 5 2 4" xfId="21124" xr:uid="{66342B00-52B0-4639-8A9B-76BAD4BFBCAE}"/>
    <cellStyle name="Currency 5 2 2 4 5 3" xfId="6299" xr:uid="{00000000-0005-0000-0000-0000030C0000}"/>
    <cellStyle name="Currency 5 2 2 4 5 3 2" xfId="14749" xr:uid="{DDE50DF6-CF6F-4FB7-BC7D-AB0EE16E0122}"/>
    <cellStyle name="Currency 5 2 2 4 5 3 3" xfId="23196" xr:uid="{82E34F9C-F5F0-4591-8522-203DB76C5BFA}"/>
    <cellStyle name="Currency 5 2 2 4 5 4" xfId="10531" xr:uid="{3E8B8912-CC00-45B3-AD11-2E01FA473164}"/>
    <cellStyle name="Currency 5 2 2 4 5 5" xfId="18979" xr:uid="{AE08EEBF-C689-4F66-B0BC-D44490E60D07}"/>
    <cellStyle name="Currency 5 2 2 4 6" xfId="2428" xr:uid="{00000000-0005-0000-0000-0000040C0000}"/>
    <cellStyle name="Currency 5 2 2 4 6 2" xfId="6712" xr:uid="{00000000-0005-0000-0000-0000050C0000}"/>
    <cellStyle name="Currency 5 2 2 4 6 2 2" xfId="15162" xr:uid="{A7DF8A50-20BF-49F4-BA77-C76F3D2FFDDF}"/>
    <cellStyle name="Currency 5 2 2 4 6 2 3" xfId="23609" xr:uid="{C3FFBE88-37AA-4363-B485-D7CE1A619DD5}"/>
    <cellStyle name="Currency 5 2 2 4 6 3" xfId="10944" xr:uid="{54E35023-CF22-4010-91E3-7EA254502BEF}"/>
    <cellStyle name="Currency 5 2 2 4 6 4" xfId="19392" xr:uid="{98B4F3FA-A189-4216-9412-A15A229D91B6}"/>
    <cellStyle name="Currency 5 2 2 4 7" xfId="2725" xr:uid="{00000000-0005-0000-0000-0000060C0000}"/>
    <cellStyle name="Currency 5 2 2 4 8" xfId="2806" xr:uid="{00000000-0005-0000-0000-0000070C0000}"/>
    <cellStyle name="Currency 5 2 2 4 8 2" xfId="7029" xr:uid="{00000000-0005-0000-0000-0000080C0000}"/>
    <cellStyle name="Currency 5 2 2 4 8 2 2" xfId="15479" xr:uid="{1ED4747A-C391-4B73-BD67-7E06BCD0E2CF}"/>
    <cellStyle name="Currency 5 2 2 4 8 2 3" xfId="23926" xr:uid="{C3B9B4D9-C3D0-4604-90EE-456DD44BA138}"/>
    <cellStyle name="Currency 5 2 2 4 8 3" xfId="11261" xr:uid="{EEB0ABFC-8357-40C9-9672-10A0A7C15FE1}"/>
    <cellStyle name="Currency 5 2 2 4 8 4" xfId="19709" xr:uid="{59346CF3-4939-46E4-AE65-44131CB100A4}"/>
    <cellStyle name="Currency 5 2 2 4 9" xfId="4646" xr:uid="{00000000-0005-0000-0000-0000090C0000}"/>
    <cellStyle name="Currency 5 2 2 4 9 2" xfId="13096" xr:uid="{D596D20B-12E2-4E93-8FCC-3C50DA50EE08}"/>
    <cellStyle name="Currency 5 2 2 4 9 3" xfId="21543" xr:uid="{A9812BA2-1D53-4B4C-A9BE-F8E6824BD1C1}"/>
    <cellStyle name="Currency 5 2 2 5" xfId="203" xr:uid="{00000000-0005-0000-0000-00000A0C0000}"/>
    <cellStyle name="Currency 5 2 2 5 10" xfId="8879" xr:uid="{887A20D7-6450-4A33-83C5-A5CB6760DFFD}"/>
    <cellStyle name="Currency 5 2 2 5 11" xfId="17327" xr:uid="{7A0A158E-C6DF-4938-A045-69AB973323C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2 2 2" xfId="15656" xr:uid="{9A7E596A-7F32-4E74-8CD1-BE3A9B690CD5}"/>
    <cellStyle name="Currency 5 2 2 5 2 2 2 3" xfId="24103" xr:uid="{F45FEE63-CF33-45F1-B95D-6B71C29C787A}"/>
    <cellStyle name="Currency 5 2 2 5 2 2 3" xfId="11438" xr:uid="{A527AF5C-6397-4754-AB90-04CA1D86CFB5}"/>
    <cellStyle name="Currency 5 2 2 5 2 2 4" xfId="19886" xr:uid="{97E59C00-3B71-4D8B-A78E-A373EE7E6EB2}"/>
    <cellStyle name="Currency 5 2 2 5 2 3" xfId="5061" xr:uid="{00000000-0005-0000-0000-00000E0C0000}"/>
    <cellStyle name="Currency 5 2 2 5 2 3 2" xfId="13511" xr:uid="{152E3F23-56AF-4A05-A746-32E1685FF071}"/>
    <cellStyle name="Currency 5 2 2 5 2 3 3" xfId="21958" xr:uid="{F5C5C286-BD41-47B5-9498-494A6CB25A01}"/>
    <cellStyle name="Currency 5 2 2 5 2 4" xfId="9293" xr:uid="{75CFCF69-3EAD-4F34-9375-92DD5C7E9763}"/>
    <cellStyle name="Currency 5 2 2 5 2 5" xfId="17741" xr:uid="{881D4AEA-05A2-4E02-8CB5-BA05980CAC9E}"/>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2 2 2" xfId="16069" xr:uid="{B21AA052-AD50-48F3-B010-F1E21858182B}"/>
    <cellStyle name="Currency 5 2 2 5 3 2 2 3" xfId="24516" xr:uid="{E88941A2-9912-40A7-B7D3-75A520084871}"/>
    <cellStyle name="Currency 5 2 2 5 3 2 3" xfId="11851" xr:uid="{A58B046D-B82B-4DF4-BBB0-FDBE30B60EDA}"/>
    <cellStyle name="Currency 5 2 2 5 3 2 4" xfId="20299" xr:uid="{8C16ED92-2E2E-4193-AAA6-3849CD3E8704}"/>
    <cellStyle name="Currency 5 2 2 5 3 3" xfId="5474" xr:uid="{00000000-0005-0000-0000-0000120C0000}"/>
    <cellStyle name="Currency 5 2 2 5 3 3 2" xfId="13924" xr:uid="{65999905-9F6B-4DB9-BB46-CF5139824D00}"/>
    <cellStyle name="Currency 5 2 2 5 3 3 3" xfId="22371" xr:uid="{351459D4-ECCB-473B-A3A8-91C532617EDB}"/>
    <cellStyle name="Currency 5 2 2 5 3 4" xfId="9706" xr:uid="{7ED1BAA6-B2DB-4204-A6BB-FDA5A94600C6}"/>
    <cellStyle name="Currency 5 2 2 5 3 5" xfId="18154" xr:uid="{0462E2A9-F083-45F2-A48C-522D6377D077}"/>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2 2 2" xfId="16482" xr:uid="{B7BA94E8-F122-4B22-8567-A370A36B59BD}"/>
    <cellStyle name="Currency 5 2 2 5 4 2 2 3" xfId="24929" xr:uid="{2A486238-C11E-4430-B4AC-3D37C2F80175}"/>
    <cellStyle name="Currency 5 2 2 5 4 2 3" xfId="12264" xr:uid="{3995A364-6C75-4A36-B367-87A126CFA41C}"/>
    <cellStyle name="Currency 5 2 2 5 4 2 4" xfId="20712" xr:uid="{7D3FD969-F281-4AC6-83E9-0053AA8EB1DB}"/>
    <cellStyle name="Currency 5 2 2 5 4 3" xfId="5887" xr:uid="{00000000-0005-0000-0000-0000160C0000}"/>
    <cellStyle name="Currency 5 2 2 5 4 3 2" xfId="14337" xr:uid="{49F1E6FA-BB48-4911-B5C3-D9A1AF7FB781}"/>
    <cellStyle name="Currency 5 2 2 5 4 3 3" xfId="22784" xr:uid="{18B877F2-2F18-4603-A56B-17303FCF5938}"/>
    <cellStyle name="Currency 5 2 2 5 4 4" xfId="10119" xr:uid="{BE40B2B3-514A-4211-A14C-8E10B5D52232}"/>
    <cellStyle name="Currency 5 2 2 5 4 5" xfId="18567" xr:uid="{2C32C240-7B96-417E-A691-066C17B81AC5}"/>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2 2 2" xfId="16895" xr:uid="{7EE4BC56-CE86-4F08-8C6E-07E6CA4BEE90}"/>
    <cellStyle name="Currency 5 2 2 5 5 2 2 3" xfId="25342" xr:uid="{71858ECB-E1B8-4481-8A45-BF50D51D8494}"/>
    <cellStyle name="Currency 5 2 2 5 5 2 3" xfId="12677" xr:uid="{E6C1487C-A5B5-44C4-82E6-30205908FD00}"/>
    <cellStyle name="Currency 5 2 2 5 5 2 4" xfId="21125" xr:uid="{5C399152-A033-43DE-9BB5-F3996A1A372D}"/>
    <cellStyle name="Currency 5 2 2 5 5 3" xfId="6300" xr:uid="{00000000-0005-0000-0000-00001A0C0000}"/>
    <cellStyle name="Currency 5 2 2 5 5 3 2" xfId="14750" xr:uid="{7A949266-A6B1-4A62-8F85-F20E019F8A71}"/>
    <cellStyle name="Currency 5 2 2 5 5 3 3" xfId="23197" xr:uid="{EB602919-73D2-4A6A-A1B3-03A5E61150F0}"/>
    <cellStyle name="Currency 5 2 2 5 5 4" xfId="10532" xr:uid="{525C805A-B8B1-48ED-BCBD-F8AB31AB7051}"/>
    <cellStyle name="Currency 5 2 2 5 5 5" xfId="18980" xr:uid="{3F584ABE-8EDE-4493-B535-4FDAD3F6B41A}"/>
    <cellStyle name="Currency 5 2 2 5 6" xfId="2429" xr:uid="{00000000-0005-0000-0000-00001B0C0000}"/>
    <cellStyle name="Currency 5 2 2 5 6 2" xfId="6713" xr:uid="{00000000-0005-0000-0000-00001C0C0000}"/>
    <cellStyle name="Currency 5 2 2 5 6 2 2" xfId="15163" xr:uid="{748C28E2-ECC0-4F3A-B1F6-4F02B8F5CAF2}"/>
    <cellStyle name="Currency 5 2 2 5 6 2 3" xfId="23610" xr:uid="{F015E34F-84CF-449C-8760-CE5C14A1D312}"/>
    <cellStyle name="Currency 5 2 2 5 6 3" xfId="10945" xr:uid="{56E72D0F-DDC1-402B-8838-AC67E025C3DF}"/>
    <cellStyle name="Currency 5 2 2 5 6 4" xfId="19393" xr:uid="{E852D581-EAF4-4CB1-88A5-56E710613987}"/>
    <cellStyle name="Currency 5 2 2 5 7" xfId="2726" xr:uid="{00000000-0005-0000-0000-00001D0C0000}"/>
    <cellStyle name="Currency 5 2 2 5 8" xfId="2807" xr:uid="{00000000-0005-0000-0000-00001E0C0000}"/>
    <cellStyle name="Currency 5 2 2 5 8 2" xfId="7030" xr:uid="{00000000-0005-0000-0000-00001F0C0000}"/>
    <cellStyle name="Currency 5 2 2 5 8 2 2" xfId="15480" xr:uid="{ED8C3108-00CC-4FA9-8631-6A643A93E6C0}"/>
    <cellStyle name="Currency 5 2 2 5 8 2 3" xfId="23927" xr:uid="{BFE134EC-4CF2-49BB-9A76-26D1099A1E5E}"/>
    <cellStyle name="Currency 5 2 2 5 8 3" xfId="11262" xr:uid="{2B7222AB-3143-474D-BF1C-B52D9342ACA7}"/>
    <cellStyle name="Currency 5 2 2 5 8 4" xfId="19710" xr:uid="{37E0A8DD-AE3B-4511-B1A1-D40A04618A44}"/>
    <cellStyle name="Currency 5 2 2 5 9" xfId="4647" xr:uid="{00000000-0005-0000-0000-0000200C0000}"/>
    <cellStyle name="Currency 5 2 2 5 9 2" xfId="13097" xr:uid="{55CB2A69-10AC-4189-BC3A-FFA965FFD4FA}"/>
    <cellStyle name="Currency 5 2 2 5 9 3" xfId="21544" xr:uid="{15A31BFE-53CA-48FE-91A2-EE3A59AD1F31}"/>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10 2" xfId="13098" xr:uid="{E04D149D-F959-43AD-805A-2D54B0BFD09D}"/>
    <cellStyle name="Currency 5 2 4 10 3" xfId="21545" xr:uid="{1A8438BE-BCC1-4876-A292-BB8D13478BA5}"/>
    <cellStyle name="Currency 5 2 4 11" xfId="8880" xr:uid="{7530F387-3761-4AF1-9B21-DEF13230CC67}"/>
    <cellStyle name="Currency 5 2 4 12" xfId="17328" xr:uid="{687A1A59-3C7D-4BF3-9F29-A1426AADB19E}"/>
    <cellStyle name="Currency 5 2 4 2" xfId="206" xr:uid="{00000000-0005-0000-0000-0000250C0000}"/>
    <cellStyle name="Currency 5 2 4 2 10" xfId="8881" xr:uid="{8D32EAFD-910B-44F0-8C2C-05E4DCC1D6EF}"/>
    <cellStyle name="Currency 5 2 4 2 11" xfId="17329" xr:uid="{990CA3FE-467D-4793-A045-6F8CC6DE2F86}"/>
    <cellStyle name="Currency 5 2 4 2 2" xfId="733" xr:uid="{00000000-0005-0000-0000-0000260C0000}"/>
    <cellStyle name="Currency 5 2 4 2 2 2" xfId="2986" xr:uid="{00000000-0005-0000-0000-0000270C0000}"/>
    <cellStyle name="Currency 5 2 4 2 2 2 2" xfId="7208" xr:uid="{00000000-0005-0000-0000-0000280C0000}"/>
    <cellStyle name="Currency 5 2 4 2 2 2 2 2" xfId="15658" xr:uid="{0B0221BF-1C2B-4D9E-A860-BB6832112CF3}"/>
    <cellStyle name="Currency 5 2 4 2 2 2 2 3" xfId="24105" xr:uid="{80336735-931C-4CC0-B8E2-73AB8ED73F01}"/>
    <cellStyle name="Currency 5 2 4 2 2 2 3" xfId="11440" xr:uid="{89E67BEF-45DD-428C-8F1E-DDE7688EB639}"/>
    <cellStyle name="Currency 5 2 4 2 2 2 4" xfId="19888" xr:uid="{5965C744-1798-4695-9011-3F1903017AE8}"/>
    <cellStyle name="Currency 5 2 4 2 2 3" xfId="5063" xr:uid="{00000000-0005-0000-0000-0000290C0000}"/>
    <cellStyle name="Currency 5 2 4 2 2 3 2" xfId="13513" xr:uid="{C4785EDF-2914-4E03-8290-474D8B97E6FB}"/>
    <cellStyle name="Currency 5 2 4 2 2 3 3" xfId="21960" xr:uid="{980817B2-5F8C-45DB-B884-701CEA292B9C}"/>
    <cellStyle name="Currency 5 2 4 2 2 4" xfId="9295" xr:uid="{604E0763-D966-4D34-9AA4-CD83D1625F82}"/>
    <cellStyle name="Currency 5 2 4 2 2 5" xfId="17743" xr:uid="{2B789DD2-5120-4D76-94D3-CA58E9A25241}"/>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2 2 2" xfId="16071" xr:uid="{48838E73-DE27-4536-91A1-07279052439D}"/>
    <cellStyle name="Currency 5 2 4 2 3 2 2 3" xfId="24518" xr:uid="{69FC0A60-DE91-4001-937F-4D0BC7702DEE}"/>
    <cellStyle name="Currency 5 2 4 2 3 2 3" xfId="11853" xr:uid="{C482ADE2-9390-48AA-84ED-2BDF2600EE0B}"/>
    <cellStyle name="Currency 5 2 4 2 3 2 4" xfId="20301" xr:uid="{E10E3D34-05AF-43D3-90B0-31B3D9D88DF3}"/>
    <cellStyle name="Currency 5 2 4 2 3 3" xfId="5476" xr:uid="{00000000-0005-0000-0000-00002D0C0000}"/>
    <cellStyle name="Currency 5 2 4 2 3 3 2" xfId="13926" xr:uid="{96C6227B-98EA-4AF3-A773-77F6EFB440BC}"/>
    <cellStyle name="Currency 5 2 4 2 3 3 3" xfId="22373" xr:uid="{65915A66-9FA6-4E4B-9F58-F4450588002E}"/>
    <cellStyle name="Currency 5 2 4 2 3 4" xfId="9708" xr:uid="{B8E00040-649C-4CFC-BEE9-CC198E1FC811}"/>
    <cellStyle name="Currency 5 2 4 2 3 5" xfId="18156" xr:uid="{32C3E2C3-3DB1-46A0-B4E1-9C76538BE8E4}"/>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2 2 2" xfId="16484" xr:uid="{3853D8B7-42D3-4A16-BA43-1F16DC81521A}"/>
    <cellStyle name="Currency 5 2 4 2 4 2 2 3" xfId="24931" xr:uid="{5E713D52-6066-4D7A-8835-D07AE0228F30}"/>
    <cellStyle name="Currency 5 2 4 2 4 2 3" xfId="12266" xr:uid="{81A6FFF2-14C5-4717-84BB-2070D5903F26}"/>
    <cellStyle name="Currency 5 2 4 2 4 2 4" xfId="20714" xr:uid="{D80795A6-A95E-4E90-A8A8-6057F171FE76}"/>
    <cellStyle name="Currency 5 2 4 2 4 3" xfId="5889" xr:uid="{00000000-0005-0000-0000-0000310C0000}"/>
    <cellStyle name="Currency 5 2 4 2 4 3 2" xfId="14339" xr:uid="{CB647A3A-7BF4-475C-8908-319829576BB4}"/>
    <cellStyle name="Currency 5 2 4 2 4 3 3" xfId="22786" xr:uid="{41E9E32C-EE39-464F-8CB5-4A78CB8E6016}"/>
    <cellStyle name="Currency 5 2 4 2 4 4" xfId="10121" xr:uid="{4723F29D-1CA8-486E-A2B6-6E0DD3C50FC4}"/>
    <cellStyle name="Currency 5 2 4 2 4 5" xfId="18569" xr:uid="{BCC0E70C-C0E6-45FD-B555-BE3856746219}"/>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2 2 2" xfId="16897" xr:uid="{4FC867CC-F0F5-49A2-BF91-AC8ABDA6B8C3}"/>
    <cellStyle name="Currency 5 2 4 2 5 2 2 3" xfId="25344" xr:uid="{A4080B68-6DE1-4C5A-91F9-49DCCA9BCAF6}"/>
    <cellStyle name="Currency 5 2 4 2 5 2 3" xfId="12679" xr:uid="{23166B0A-343C-4470-A8F6-B1B904C14371}"/>
    <cellStyle name="Currency 5 2 4 2 5 2 4" xfId="21127" xr:uid="{44F80B65-A56B-4B72-B7DF-34441C864C41}"/>
    <cellStyle name="Currency 5 2 4 2 5 3" xfId="6302" xr:uid="{00000000-0005-0000-0000-0000350C0000}"/>
    <cellStyle name="Currency 5 2 4 2 5 3 2" xfId="14752" xr:uid="{E5DF9348-7B91-49C6-B852-9FEE21317ACD}"/>
    <cellStyle name="Currency 5 2 4 2 5 3 3" xfId="23199" xr:uid="{0DA1B657-C69B-4C20-BF5B-D78CA73F59E8}"/>
    <cellStyle name="Currency 5 2 4 2 5 4" xfId="10534" xr:uid="{B5DEA6DF-51DE-4CE7-BDB8-76D6D75ABE18}"/>
    <cellStyle name="Currency 5 2 4 2 5 5" xfId="18982" xr:uid="{A8A45FD9-FDCC-4F15-BE30-E0C62A1304C2}"/>
    <cellStyle name="Currency 5 2 4 2 6" xfId="2431" xr:uid="{00000000-0005-0000-0000-0000360C0000}"/>
    <cellStyle name="Currency 5 2 4 2 6 2" xfId="6715" xr:uid="{00000000-0005-0000-0000-0000370C0000}"/>
    <cellStyle name="Currency 5 2 4 2 6 2 2" xfId="15165" xr:uid="{C938DFED-1496-4304-A463-EC8A5F068B8F}"/>
    <cellStyle name="Currency 5 2 4 2 6 2 3" xfId="23612" xr:uid="{8E0E8CCB-F9DE-4FA7-BA19-C64108F72FA8}"/>
    <cellStyle name="Currency 5 2 4 2 6 3" xfId="10947" xr:uid="{9A031E98-0DEC-40DB-91A5-93E6E8F12F80}"/>
    <cellStyle name="Currency 5 2 4 2 6 4" xfId="19395" xr:uid="{404C0505-6C8F-434C-A483-8F9AF72597B1}"/>
    <cellStyle name="Currency 5 2 4 2 7" xfId="2728" xr:uid="{00000000-0005-0000-0000-0000380C0000}"/>
    <cellStyle name="Currency 5 2 4 2 8" xfId="2809" xr:uid="{00000000-0005-0000-0000-0000390C0000}"/>
    <cellStyle name="Currency 5 2 4 2 8 2" xfId="7032" xr:uid="{00000000-0005-0000-0000-00003A0C0000}"/>
    <cellStyle name="Currency 5 2 4 2 8 2 2" xfId="15482" xr:uid="{B30C2A1F-6AA1-48FB-A40D-82A07A962D17}"/>
    <cellStyle name="Currency 5 2 4 2 8 2 3" xfId="23929" xr:uid="{AA964781-A49B-4315-9D28-51F22D3D379F}"/>
    <cellStyle name="Currency 5 2 4 2 8 3" xfId="11264" xr:uid="{17BF10D6-1EEC-448F-9706-8000663A7957}"/>
    <cellStyle name="Currency 5 2 4 2 8 4" xfId="19712" xr:uid="{819A88B7-AD8F-4869-8FA4-509051112347}"/>
    <cellStyle name="Currency 5 2 4 2 9" xfId="4649" xr:uid="{00000000-0005-0000-0000-00003B0C0000}"/>
    <cellStyle name="Currency 5 2 4 2 9 2" xfId="13099" xr:uid="{EE2D330E-DC26-40F9-843D-E134355A9474}"/>
    <cellStyle name="Currency 5 2 4 2 9 3" xfId="21546" xr:uid="{786EAFD7-5C9A-43EB-882A-DBF08785122E}"/>
    <cellStyle name="Currency 5 2 4 3" xfId="732" xr:uid="{00000000-0005-0000-0000-00003C0C0000}"/>
    <cellStyle name="Currency 5 2 4 3 2" xfId="2985" xr:uid="{00000000-0005-0000-0000-00003D0C0000}"/>
    <cellStyle name="Currency 5 2 4 3 2 2" xfId="7207" xr:uid="{00000000-0005-0000-0000-00003E0C0000}"/>
    <cellStyle name="Currency 5 2 4 3 2 2 2" xfId="15657" xr:uid="{CFFF3A33-21A0-47CD-8184-F862A42D5069}"/>
    <cellStyle name="Currency 5 2 4 3 2 2 3" xfId="24104" xr:uid="{3B8B79A9-18E7-4329-8292-7426436A7126}"/>
    <cellStyle name="Currency 5 2 4 3 2 3" xfId="11439" xr:uid="{9D1DF8F1-779B-44C5-BCE9-2F24CEFC2D38}"/>
    <cellStyle name="Currency 5 2 4 3 2 4" xfId="19887" xr:uid="{EEE7B3DA-7251-4673-AD64-837A79CB7DED}"/>
    <cellStyle name="Currency 5 2 4 3 3" xfId="5062" xr:uid="{00000000-0005-0000-0000-00003F0C0000}"/>
    <cellStyle name="Currency 5 2 4 3 3 2" xfId="13512" xr:uid="{7BAE0CEF-D432-43CF-BACB-3840A897B48E}"/>
    <cellStyle name="Currency 5 2 4 3 3 3" xfId="21959" xr:uid="{28294A89-1942-4598-B91D-288FC9B9ED36}"/>
    <cellStyle name="Currency 5 2 4 3 4" xfId="9294" xr:uid="{CD817BCD-9DBD-48AD-92D5-8B172E6E5819}"/>
    <cellStyle name="Currency 5 2 4 3 5" xfId="17742" xr:uid="{8E694AE9-A031-4E3B-B2DE-5C4E9DACE8E9}"/>
    <cellStyle name="Currency 5 2 4 4" xfId="1167" xr:uid="{00000000-0005-0000-0000-0000400C0000}"/>
    <cellStyle name="Currency 5 2 4 4 2" xfId="3398" xr:uid="{00000000-0005-0000-0000-0000410C0000}"/>
    <cellStyle name="Currency 5 2 4 4 2 2" xfId="7620" xr:uid="{00000000-0005-0000-0000-0000420C0000}"/>
    <cellStyle name="Currency 5 2 4 4 2 2 2" xfId="16070" xr:uid="{41870C94-F8F0-4F43-B5BC-02CA059A32C4}"/>
    <cellStyle name="Currency 5 2 4 4 2 2 3" xfId="24517" xr:uid="{DBECFA08-9F78-41BA-8CC8-2296F8B0DD1F}"/>
    <cellStyle name="Currency 5 2 4 4 2 3" xfId="11852" xr:uid="{7222C175-D602-444C-98DA-E3DC9E3FDDBC}"/>
    <cellStyle name="Currency 5 2 4 4 2 4" xfId="20300" xr:uid="{294C748C-32FA-47D5-B4C2-235153DC5952}"/>
    <cellStyle name="Currency 5 2 4 4 3" xfId="5475" xr:uid="{00000000-0005-0000-0000-0000430C0000}"/>
    <cellStyle name="Currency 5 2 4 4 3 2" xfId="13925" xr:uid="{D992DEB1-D79D-49B9-B0C2-3A6B8FEF5D3A}"/>
    <cellStyle name="Currency 5 2 4 4 3 3" xfId="22372" xr:uid="{CF94A83C-3A3A-47D2-9749-076635B021FE}"/>
    <cellStyle name="Currency 5 2 4 4 4" xfId="9707" xr:uid="{3B3C6187-A3DF-4596-A7C9-4C6527C315E5}"/>
    <cellStyle name="Currency 5 2 4 4 5" xfId="18155" xr:uid="{8E1EAF32-7A59-4410-9732-11C9D5729A52}"/>
    <cellStyle name="Currency 5 2 4 5" xfId="1581" xr:uid="{00000000-0005-0000-0000-0000440C0000}"/>
    <cellStyle name="Currency 5 2 4 5 2" xfId="3811" xr:uid="{00000000-0005-0000-0000-0000450C0000}"/>
    <cellStyle name="Currency 5 2 4 5 2 2" xfId="8033" xr:uid="{00000000-0005-0000-0000-0000460C0000}"/>
    <cellStyle name="Currency 5 2 4 5 2 2 2" xfId="16483" xr:uid="{0B52E813-5F2E-4D7B-B807-98E841C3726C}"/>
    <cellStyle name="Currency 5 2 4 5 2 2 3" xfId="24930" xr:uid="{372F111D-F272-4724-9073-E92592B21D3E}"/>
    <cellStyle name="Currency 5 2 4 5 2 3" xfId="12265" xr:uid="{7D7FB8E9-F143-4C8C-AB52-131E1A98645C}"/>
    <cellStyle name="Currency 5 2 4 5 2 4" xfId="20713" xr:uid="{9D9D57F1-4E0B-4D1D-AA02-F3FADDD3FB25}"/>
    <cellStyle name="Currency 5 2 4 5 3" xfId="5888" xr:uid="{00000000-0005-0000-0000-0000470C0000}"/>
    <cellStyle name="Currency 5 2 4 5 3 2" xfId="14338" xr:uid="{6529A968-98BC-40F0-85AC-B862C1BE4766}"/>
    <cellStyle name="Currency 5 2 4 5 3 3" xfId="22785" xr:uid="{4BBDB124-BD6D-474B-8C9F-579E84EAE7DE}"/>
    <cellStyle name="Currency 5 2 4 5 4" xfId="10120" xr:uid="{5B9BE1D2-9757-451A-B952-08719E33050D}"/>
    <cellStyle name="Currency 5 2 4 5 5" xfId="18568" xr:uid="{4F3D03C2-E9A8-49AB-9325-EFD558DC351B}"/>
    <cellStyle name="Currency 5 2 4 6" xfId="1995" xr:uid="{00000000-0005-0000-0000-0000480C0000}"/>
    <cellStyle name="Currency 5 2 4 6 2" xfId="4224" xr:uid="{00000000-0005-0000-0000-0000490C0000}"/>
    <cellStyle name="Currency 5 2 4 6 2 2" xfId="8446" xr:uid="{00000000-0005-0000-0000-00004A0C0000}"/>
    <cellStyle name="Currency 5 2 4 6 2 2 2" xfId="16896" xr:uid="{8FA857D7-A5E8-420C-A2DE-8DAB297A79CC}"/>
    <cellStyle name="Currency 5 2 4 6 2 2 3" xfId="25343" xr:uid="{49784C03-B716-405C-87B1-B2086BC5B84C}"/>
    <cellStyle name="Currency 5 2 4 6 2 3" xfId="12678" xr:uid="{C1C7F524-A6F5-4B7E-876D-F1F0D07BF0CE}"/>
    <cellStyle name="Currency 5 2 4 6 2 4" xfId="21126" xr:uid="{2C038DEB-3FD8-4C47-AD04-C14D0EA5CCBA}"/>
    <cellStyle name="Currency 5 2 4 6 3" xfId="6301" xr:uid="{00000000-0005-0000-0000-00004B0C0000}"/>
    <cellStyle name="Currency 5 2 4 6 3 2" xfId="14751" xr:uid="{326F82C1-FAC0-4B23-BF43-26B1902B3FBA}"/>
    <cellStyle name="Currency 5 2 4 6 3 3" xfId="23198" xr:uid="{70DC669D-C382-4478-8168-829DB4B47811}"/>
    <cellStyle name="Currency 5 2 4 6 4" xfId="10533" xr:uid="{E50F2B76-7046-43F6-B208-F056AE640BF9}"/>
    <cellStyle name="Currency 5 2 4 6 5" xfId="18981" xr:uid="{AE26C7D7-DD52-4021-81A9-A8C08BE4B300}"/>
    <cellStyle name="Currency 5 2 4 7" xfId="2430" xr:uid="{00000000-0005-0000-0000-00004C0C0000}"/>
    <cellStyle name="Currency 5 2 4 7 2" xfId="6714" xr:uid="{00000000-0005-0000-0000-00004D0C0000}"/>
    <cellStyle name="Currency 5 2 4 7 2 2" xfId="15164" xr:uid="{2AFBFC3B-0B01-4A9A-B8A8-7C17D583AF3B}"/>
    <cellStyle name="Currency 5 2 4 7 2 3" xfId="23611" xr:uid="{5861F372-CFB3-4C1A-9F50-63A840497C78}"/>
    <cellStyle name="Currency 5 2 4 7 3" xfId="10946" xr:uid="{A7DAF42A-CAF9-40FE-B139-F0889F579E49}"/>
    <cellStyle name="Currency 5 2 4 7 4" xfId="19394" xr:uid="{FA4B1001-7C78-4445-88EF-6ACA88ED099E}"/>
    <cellStyle name="Currency 5 2 4 8" xfId="2727" xr:uid="{00000000-0005-0000-0000-00004E0C0000}"/>
    <cellStyle name="Currency 5 2 4 9" xfId="2808" xr:uid="{00000000-0005-0000-0000-00004F0C0000}"/>
    <cellStyle name="Currency 5 2 4 9 2" xfId="7031" xr:uid="{00000000-0005-0000-0000-0000500C0000}"/>
    <cellStyle name="Currency 5 2 4 9 2 2" xfId="15481" xr:uid="{C7FED98D-D3C8-4BA1-AB6B-8F24267D0C3B}"/>
    <cellStyle name="Currency 5 2 4 9 2 3" xfId="23928" xr:uid="{95A36192-A67B-4598-8254-8C309A21C173}"/>
    <cellStyle name="Currency 5 2 4 9 3" xfId="11263" xr:uid="{A3FE212B-3871-4A1C-8ECD-7E57E8192BD2}"/>
    <cellStyle name="Currency 5 2 4 9 4" xfId="19711" xr:uid="{CE8157D3-F9A7-41B5-AD37-C61D59701ED1}"/>
    <cellStyle name="Currency 5 2 5" xfId="207" xr:uid="{00000000-0005-0000-0000-0000510C0000}"/>
    <cellStyle name="Currency 5 2 5 10" xfId="8882" xr:uid="{3F376A3A-C684-4100-84D1-0A7687D99230}"/>
    <cellStyle name="Currency 5 2 5 11" xfId="17330" xr:uid="{6E2CC177-C6E5-4C1E-8E12-54DE2F78CF93}"/>
    <cellStyle name="Currency 5 2 5 2" xfId="734" xr:uid="{00000000-0005-0000-0000-0000520C0000}"/>
    <cellStyle name="Currency 5 2 5 2 2" xfId="2987" xr:uid="{00000000-0005-0000-0000-0000530C0000}"/>
    <cellStyle name="Currency 5 2 5 2 2 2" xfId="7209" xr:uid="{00000000-0005-0000-0000-0000540C0000}"/>
    <cellStyle name="Currency 5 2 5 2 2 2 2" xfId="15659" xr:uid="{5EA8FC4C-3A43-4517-BD86-3924F4E96798}"/>
    <cellStyle name="Currency 5 2 5 2 2 2 3" xfId="24106" xr:uid="{BC0D9B68-51B3-4C47-8500-54F9DABCB791}"/>
    <cellStyle name="Currency 5 2 5 2 2 3" xfId="11441" xr:uid="{2E2913C5-ADCA-4E2E-B5F9-4F4E01A40B22}"/>
    <cellStyle name="Currency 5 2 5 2 2 4" xfId="19889" xr:uid="{DCA78DEE-9D94-4047-ABE7-5C5630BC6FC1}"/>
    <cellStyle name="Currency 5 2 5 2 3" xfId="5064" xr:uid="{00000000-0005-0000-0000-0000550C0000}"/>
    <cellStyle name="Currency 5 2 5 2 3 2" xfId="13514" xr:uid="{F1EC49EA-3003-4523-954C-61A5ACD3943E}"/>
    <cellStyle name="Currency 5 2 5 2 3 3" xfId="21961" xr:uid="{2446CD47-081F-4A8B-A245-0200A9CC6BD0}"/>
    <cellStyle name="Currency 5 2 5 2 4" xfId="9296" xr:uid="{39BF1702-1D42-4E4A-97D3-354C5F9FB9AD}"/>
    <cellStyle name="Currency 5 2 5 2 5" xfId="17744" xr:uid="{700D2C00-3F96-4CE8-B95C-19BF178DF5BE}"/>
    <cellStyle name="Currency 5 2 5 3" xfId="1169" xr:uid="{00000000-0005-0000-0000-0000560C0000}"/>
    <cellStyle name="Currency 5 2 5 3 2" xfId="3400" xr:uid="{00000000-0005-0000-0000-0000570C0000}"/>
    <cellStyle name="Currency 5 2 5 3 2 2" xfId="7622" xr:uid="{00000000-0005-0000-0000-0000580C0000}"/>
    <cellStyle name="Currency 5 2 5 3 2 2 2" xfId="16072" xr:uid="{6098D0BC-56A7-4420-ACB7-863B63F305A9}"/>
    <cellStyle name="Currency 5 2 5 3 2 2 3" xfId="24519" xr:uid="{3A45FF3A-1411-43B6-B005-E0EC51AB4A74}"/>
    <cellStyle name="Currency 5 2 5 3 2 3" xfId="11854" xr:uid="{732D8A36-1858-41F5-B11E-3FEC5DA2E76F}"/>
    <cellStyle name="Currency 5 2 5 3 2 4" xfId="20302" xr:uid="{4CDEAF54-208A-4B4E-B8C4-0269F59E7668}"/>
    <cellStyle name="Currency 5 2 5 3 3" xfId="5477" xr:uid="{00000000-0005-0000-0000-0000590C0000}"/>
    <cellStyle name="Currency 5 2 5 3 3 2" xfId="13927" xr:uid="{E6CDEBDE-BA8B-49B4-A576-399E647A06AE}"/>
    <cellStyle name="Currency 5 2 5 3 3 3" xfId="22374" xr:uid="{7470ED88-EFBF-43A8-930F-7B3BB347C5CC}"/>
    <cellStyle name="Currency 5 2 5 3 4" xfId="9709" xr:uid="{325D8AEE-16B9-4ECB-B296-214AE72C3CE8}"/>
    <cellStyle name="Currency 5 2 5 3 5" xfId="18157" xr:uid="{DF9F16A6-AAF3-427E-A193-B600839E55A7}"/>
    <cellStyle name="Currency 5 2 5 4" xfId="1583" xr:uid="{00000000-0005-0000-0000-00005A0C0000}"/>
    <cellStyle name="Currency 5 2 5 4 2" xfId="3813" xr:uid="{00000000-0005-0000-0000-00005B0C0000}"/>
    <cellStyle name="Currency 5 2 5 4 2 2" xfId="8035" xr:uid="{00000000-0005-0000-0000-00005C0C0000}"/>
    <cellStyle name="Currency 5 2 5 4 2 2 2" xfId="16485" xr:uid="{3775C30E-CC59-4981-800F-40456C15A655}"/>
    <cellStyle name="Currency 5 2 5 4 2 2 3" xfId="24932" xr:uid="{7ADD00D9-2EFC-4CAB-A735-AEE5187C092A}"/>
    <cellStyle name="Currency 5 2 5 4 2 3" xfId="12267" xr:uid="{1B9F77D0-2ACD-4BA6-890F-87C2FFE7F9F2}"/>
    <cellStyle name="Currency 5 2 5 4 2 4" xfId="20715" xr:uid="{E5269DE6-6AED-4260-B1A1-6FEECA6B9614}"/>
    <cellStyle name="Currency 5 2 5 4 3" xfId="5890" xr:uid="{00000000-0005-0000-0000-00005D0C0000}"/>
    <cellStyle name="Currency 5 2 5 4 3 2" xfId="14340" xr:uid="{BBEECA63-5671-40EF-A502-1B0ED63C5B22}"/>
    <cellStyle name="Currency 5 2 5 4 3 3" xfId="22787" xr:uid="{B6D89691-227B-47BA-8004-5F435B7FC074}"/>
    <cellStyle name="Currency 5 2 5 4 4" xfId="10122" xr:uid="{9D18ED90-CE3B-451F-981B-3D4F6A65B439}"/>
    <cellStyle name="Currency 5 2 5 4 5" xfId="18570" xr:uid="{1E2A1FBF-6CE0-4AA5-B3D1-D66BAADB8F2C}"/>
    <cellStyle name="Currency 5 2 5 5" xfId="1997" xr:uid="{00000000-0005-0000-0000-00005E0C0000}"/>
    <cellStyle name="Currency 5 2 5 5 2" xfId="4226" xr:uid="{00000000-0005-0000-0000-00005F0C0000}"/>
    <cellStyle name="Currency 5 2 5 5 2 2" xfId="8448" xr:uid="{00000000-0005-0000-0000-0000600C0000}"/>
    <cellStyle name="Currency 5 2 5 5 2 2 2" xfId="16898" xr:uid="{0773E564-7A03-4F4F-95A4-622A47D04E86}"/>
    <cellStyle name="Currency 5 2 5 5 2 2 3" xfId="25345" xr:uid="{D294D640-6C43-4CE5-9252-BECC4F62584A}"/>
    <cellStyle name="Currency 5 2 5 5 2 3" xfId="12680" xr:uid="{C4F6F8A3-E01E-4E71-B9A6-0DF9F37C46C2}"/>
    <cellStyle name="Currency 5 2 5 5 2 4" xfId="21128" xr:uid="{BD40A6BC-855D-4302-AC98-3F719E8ECE25}"/>
    <cellStyle name="Currency 5 2 5 5 3" xfId="6303" xr:uid="{00000000-0005-0000-0000-0000610C0000}"/>
    <cellStyle name="Currency 5 2 5 5 3 2" xfId="14753" xr:uid="{8B11A363-A6B5-4499-B05C-39AD3A35FCE4}"/>
    <cellStyle name="Currency 5 2 5 5 3 3" xfId="23200" xr:uid="{7D3F619C-A691-4637-A85C-6072E7731CC2}"/>
    <cellStyle name="Currency 5 2 5 5 4" xfId="10535" xr:uid="{46B693FA-6883-499B-BCC8-6F75A48637F5}"/>
    <cellStyle name="Currency 5 2 5 5 5" xfId="18983" xr:uid="{43A54D97-75F0-4FD1-B082-2ED2C76A43F3}"/>
    <cellStyle name="Currency 5 2 5 6" xfId="2432" xr:uid="{00000000-0005-0000-0000-0000620C0000}"/>
    <cellStyle name="Currency 5 2 5 6 2" xfId="6716" xr:uid="{00000000-0005-0000-0000-0000630C0000}"/>
    <cellStyle name="Currency 5 2 5 6 2 2" xfId="15166" xr:uid="{AC5D7FB3-8309-4A0C-8B12-8A58FABA023B}"/>
    <cellStyle name="Currency 5 2 5 6 2 3" xfId="23613" xr:uid="{5D2EAF7A-F5F0-444E-85D3-6C526E2F35EA}"/>
    <cellStyle name="Currency 5 2 5 6 3" xfId="10948" xr:uid="{63A70A68-37A5-4F0E-80BA-9E666B8DE504}"/>
    <cellStyle name="Currency 5 2 5 6 4" xfId="19396" xr:uid="{2E4DF7D4-2343-4CC7-BEA9-369A32AC5ECB}"/>
    <cellStyle name="Currency 5 2 5 7" xfId="2729" xr:uid="{00000000-0005-0000-0000-0000640C0000}"/>
    <cellStyle name="Currency 5 2 5 8" xfId="2810" xr:uid="{00000000-0005-0000-0000-0000650C0000}"/>
    <cellStyle name="Currency 5 2 5 8 2" xfId="7033" xr:uid="{00000000-0005-0000-0000-0000660C0000}"/>
    <cellStyle name="Currency 5 2 5 8 2 2" xfId="15483" xr:uid="{71ED1DBE-8714-435C-8B8E-0B42CA87FEC4}"/>
    <cellStyle name="Currency 5 2 5 8 2 3" xfId="23930" xr:uid="{3D89D0D2-7114-448D-8F0E-4CC7B0AF49F6}"/>
    <cellStyle name="Currency 5 2 5 8 3" xfId="11265" xr:uid="{A5E920E0-84AE-4922-849E-C4D082EC6FCF}"/>
    <cellStyle name="Currency 5 2 5 8 4" xfId="19713" xr:uid="{33F721BF-FFF9-49F0-A0A0-BE65D8B1287B}"/>
    <cellStyle name="Currency 5 2 5 9" xfId="4650" xr:uid="{00000000-0005-0000-0000-0000670C0000}"/>
    <cellStyle name="Currency 5 2 5 9 2" xfId="13100" xr:uid="{135C5323-545E-4D76-8342-8B0D4F665677}"/>
    <cellStyle name="Currency 5 2 5 9 3" xfId="21547" xr:uid="{FB5FB06F-C5A0-486A-9E4B-F01642A471A3}"/>
    <cellStyle name="Currency 5 2 6" xfId="208" xr:uid="{00000000-0005-0000-0000-0000680C0000}"/>
    <cellStyle name="Currency 5 2 6 10" xfId="8883" xr:uid="{6248B2D7-48BD-45B9-996C-942625C3C1F2}"/>
    <cellStyle name="Currency 5 2 6 11" xfId="17331" xr:uid="{75EAEF94-CE02-4E4D-A391-072106E45970}"/>
    <cellStyle name="Currency 5 2 6 2" xfId="735" xr:uid="{00000000-0005-0000-0000-0000690C0000}"/>
    <cellStyle name="Currency 5 2 6 2 2" xfId="2988" xr:uid="{00000000-0005-0000-0000-00006A0C0000}"/>
    <cellStyle name="Currency 5 2 6 2 2 2" xfId="7210" xr:uid="{00000000-0005-0000-0000-00006B0C0000}"/>
    <cellStyle name="Currency 5 2 6 2 2 2 2" xfId="15660" xr:uid="{CFE90975-B760-475D-A764-92562E1326A1}"/>
    <cellStyle name="Currency 5 2 6 2 2 2 3" xfId="24107" xr:uid="{AF5D7979-9895-4E83-B501-24D414F63C73}"/>
    <cellStyle name="Currency 5 2 6 2 2 3" xfId="11442" xr:uid="{63F2342D-8571-4034-A5F0-FC9F15CAB255}"/>
    <cellStyle name="Currency 5 2 6 2 2 4" xfId="19890" xr:uid="{D8E35A15-4AEE-4121-925C-55C126535D96}"/>
    <cellStyle name="Currency 5 2 6 2 3" xfId="5065" xr:uid="{00000000-0005-0000-0000-00006C0C0000}"/>
    <cellStyle name="Currency 5 2 6 2 3 2" xfId="13515" xr:uid="{9AE21ADB-B3DE-49C9-A46A-56857B81206D}"/>
    <cellStyle name="Currency 5 2 6 2 3 3" xfId="21962" xr:uid="{83B83881-6299-48EF-839D-0BCFF584E8DD}"/>
    <cellStyle name="Currency 5 2 6 2 4" xfId="9297" xr:uid="{36ECE508-4D43-40D7-91C6-30C7F17A7C02}"/>
    <cellStyle name="Currency 5 2 6 2 5" xfId="17745" xr:uid="{024A7B2C-1E40-444D-8477-A16BE5A0BE78}"/>
    <cellStyle name="Currency 5 2 6 3" xfId="1170" xr:uid="{00000000-0005-0000-0000-00006D0C0000}"/>
    <cellStyle name="Currency 5 2 6 3 2" xfId="3401" xr:uid="{00000000-0005-0000-0000-00006E0C0000}"/>
    <cellStyle name="Currency 5 2 6 3 2 2" xfId="7623" xr:uid="{00000000-0005-0000-0000-00006F0C0000}"/>
    <cellStyle name="Currency 5 2 6 3 2 2 2" xfId="16073" xr:uid="{D281CB8F-3CC3-4656-8202-F7D07CA12B0D}"/>
    <cellStyle name="Currency 5 2 6 3 2 2 3" xfId="24520" xr:uid="{079ACFC8-C8C2-4FC7-94D3-3F9CF3B87A6C}"/>
    <cellStyle name="Currency 5 2 6 3 2 3" xfId="11855" xr:uid="{34A4314A-DF2B-473A-A42F-2793F9CDC092}"/>
    <cellStyle name="Currency 5 2 6 3 2 4" xfId="20303" xr:uid="{A3C7640D-DCAB-4B1E-AFDF-C0C178A75E52}"/>
    <cellStyle name="Currency 5 2 6 3 3" xfId="5478" xr:uid="{00000000-0005-0000-0000-0000700C0000}"/>
    <cellStyle name="Currency 5 2 6 3 3 2" xfId="13928" xr:uid="{6A3F6B03-C70A-48ED-9C45-65CF49FA6471}"/>
    <cellStyle name="Currency 5 2 6 3 3 3" xfId="22375" xr:uid="{5784F5CE-4A6B-4AD8-A279-635C911D63F9}"/>
    <cellStyle name="Currency 5 2 6 3 4" xfId="9710" xr:uid="{5885CDB0-44FE-44FD-ADC2-920F779B4830}"/>
    <cellStyle name="Currency 5 2 6 3 5" xfId="18158" xr:uid="{44A050A5-1D44-45F3-B170-1CD6B61A6537}"/>
    <cellStyle name="Currency 5 2 6 4" xfId="1584" xr:uid="{00000000-0005-0000-0000-0000710C0000}"/>
    <cellStyle name="Currency 5 2 6 4 2" xfId="3814" xr:uid="{00000000-0005-0000-0000-0000720C0000}"/>
    <cellStyle name="Currency 5 2 6 4 2 2" xfId="8036" xr:uid="{00000000-0005-0000-0000-0000730C0000}"/>
    <cellStyle name="Currency 5 2 6 4 2 2 2" xfId="16486" xr:uid="{E2886154-4BCC-4C8E-9A04-3C4BDAEFF621}"/>
    <cellStyle name="Currency 5 2 6 4 2 2 3" xfId="24933" xr:uid="{F5C85468-22C3-4B74-AF8E-DAE360C2AEAE}"/>
    <cellStyle name="Currency 5 2 6 4 2 3" xfId="12268" xr:uid="{3D445C0E-A2C4-4FDF-8A93-31398DEC859D}"/>
    <cellStyle name="Currency 5 2 6 4 2 4" xfId="20716" xr:uid="{6FE7D0EE-8BA5-4C2E-9049-84F9C3F8D3C0}"/>
    <cellStyle name="Currency 5 2 6 4 3" xfId="5891" xr:uid="{00000000-0005-0000-0000-0000740C0000}"/>
    <cellStyle name="Currency 5 2 6 4 3 2" xfId="14341" xr:uid="{9281ABB4-2D5D-4709-8882-C26FA6568F4A}"/>
    <cellStyle name="Currency 5 2 6 4 3 3" xfId="22788" xr:uid="{72D4D380-895F-4BF0-827A-A9608FD8CD26}"/>
    <cellStyle name="Currency 5 2 6 4 4" xfId="10123" xr:uid="{A6E7F436-25FC-4AA1-A59F-B7CD375EC0E0}"/>
    <cellStyle name="Currency 5 2 6 4 5" xfId="18571" xr:uid="{7D34426F-2D9E-4072-AC53-4309D644E639}"/>
    <cellStyle name="Currency 5 2 6 5" xfId="1998" xr:uid="{00000000-0005-0000-0000-0000750C0000}"/>
    <cellStyle name="Currency 5 2 6 5 2" xfId="4227" xr:uid="{00000000-0005-0000-0000-0000760C0000}"/>
    <cellStyle name="Currency 5 2 6 5 2 2" xfId="8449" xr:uid="{00000000-0005-0000-0000-0000770C0000}"/>
    <cellStyle name="Currency 5 2 6 5 2 2 2" xfId="16899" xr:uid="{870428F4-AB07-4BBD-9573-C7D119DECCEA}"/>
    <cellStyle name="Currency 5 2 6 5 2 2 3" xfId="25346" xr:uid="{AE0281A0-5133-46F0-8741-0DBC2E43661B}"/>
    <cellStyle name="Currency 5 2 6 5 2 3" xfId="12681" xr:uid="{45176F1B-C296-4C7A-830C-63C71FA9D532}"/>
    <cellStyle name="Currency 5 2 6 5 2 4" xfId="21129" xr:uid="{1B9BC702-95C5-4E50-BE09-4B5FA34D6BE5}"/>
    <cellStyle name="Currency 5 2 6 5 3" xfId="6304" xr:uid="{00000000-0005-0000-0000-0000780C0000}"/>
    <cellStyle name="Currency 5 2 6 5 3 2" xfId="14754" xr:uid="{599765D9-7CFD-4A50-89C8-181B6548633E}"/>
    <cellStyle name="Currency 5 2 6 5 3 3" xfId="23201" xr:uid="{798B3063-F877-4A52-B00E-7D4D073A7299}"/>
    <cellStyle name="Currency 5 2 6 5 4" xfId="10536" xr:uid="{1052FB74-3B79-4CE8-94DE-803DF1296BBE}"/>
    <cellStyle name="Currency 5 2 6 5 5" xfId="18984" xr:uid="{ABC9D5FA-12DF-4D83-83F4-A23BA9E52BB1}"/>
    <cellStyle name="Currency 5 2 6 6" xfId="2433" xr:uid="{00000000-0005-0000-0000-0000790C0000}"/>
    <cellStyle name="Currency 5 2 6 6 2" xfId="6717" xr:uid="{00000000-0005-0000-0000-00007A0C0000}"/>
    <cellStyle name="Currency 5 2 6 6 2 2" xfId="15167" xr:uid="{0212C972-79B3-4BDF-ACD1-C470BA790812}"/>
    <cellStyle name="Currency 5 2 6 6 2 3" xfId="23614" xr:uid="{4A1C76AD-6874-4460-A2BA-74FC270CE4DB}"/>
    <cellStyle name="Currency 5 2 6 6 3" xfId="10949" xr:uid="{09CC3C2F-0FBB-45CB-941B-3E6140DAAACA}"/>
    <cellStyle name="Currency 5 2 6 6 4" xfId="19397" xr:uid="{40797144-F0EF-4FDB-B24D-9A1134B7FE7B}"/>
    <cellStyle name="Currency 5 2 6 7" xfId="2730" xr:uid="{00000000-0005-0000-0000-00007B0C0000}"/>
    <cellStyle name="Currency 5 2 6 8" xfId="2811" xr:uid="{00000000-0005-0000-0000-00007C0C0000}"/>
    <cellStyle name="Currency 5 2 6 8 2" xfId="7034" xr:uid="{00000000-0005-0000-0000-00007D0C0000}"/>
    <cellStyle name="Currency 5 2 6 8 2 2" xfId="15484" xr:uid="{66178EE4-55FB-4538-9589-A12363A165AB}"/>
    <cellStyle name="Currency 5 2 6 8 2 3" xfId="23931" xr:uid="{CA9F3931-9A2B-4DFF-B5A3-B1499F15876E}"/>
    <cellStyle name="Currency 5 2 6 8 3" xfId="11266" xr:uid="{B5188E7A-2461-4306-847A-111210637EE8}"/>
    <cellStyle name="Currency 5 2 6 8 4" xfId="19714" xr:uid="{A9B425FE-4C20-4C73-9307-89E247BAEC9A}"/>
    <cellStyle name="Currency 5 2 6 9" xfId="4651" xr:uid="{00000000-0005-0000-0000-00007E0C0000}"/>
    <cellStyle name="Currency 5 2 6 9 2" xfId="13101" xr:uid="{F80CA8F7-07B1-47A5-ABB0-18BDB428CBEC}"/>
    <cellStyle name="Currency 5 2 6 9 3" xfId="21548" xr:uid="{A57D6B5A-12D9-4975-83B4-FAC3FA6D2C47}"/>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0 2 2" xfId="15485" xr:uid="{E951D501-FE3D-4FCE-9A57-C3D147D6EC43}"/>
    <cellStyle name="Currency 5 3 2 10 2 3" xfId="23932" xr:uid="{5A4C0AB0-95C2-41DD-83E6-825C1F6CFD36}"/>
    <cellStyle name="Currency 5 3 2 10 3" xfId="11267" xr:uid="{357D87E7-9B1D-43F8-8906-ADF27F0DAA6B}"/>
    <cellStyle name="Currency 5 3 2 10 4" xfId="19715" xr:uid="{DAD2D548-6DF6-4760-9CA3-D44F0F996AF4}"/>
    <cellStyle name="Currency 5 3 2 11" xfId="4652" xr:uid="{00000000-0005-0000-0000-0000840C0000}"/>
    <cellStyle name="Currency 5 3 2 11 2" xfId="13102" xr:uid="{80D21197-46F9-4D9C-8320-471EFEFC123F}"/>
    <cellStyle name="Currency 5 3 2 11 3" xfId="21549" xr:uid="{F5991C7A-DC99-4EC6-8D31-E5FAF40B4750}"/>
    <cellStyle name="Currency 5 3 2 12" xfId="8884" xr:uid="{CC59F9CD-685A-492E-93BE-CDCE074D8ABD}"/>
    <cellStyle name="Currency 5 3 2 13" xfId="17332" xr:uid="{B08F293B-6DDD-4675-97B0-A9809A50A947}"/>
    <cellStyle name="Currency 5 3 2 2" xfId="211" xr:uid="{00000000-0005-0000-0000-0000850C0000}"/>
    <cellStyle name="Currency 5 3 2 2 10" xfId="4653" xr:uid="{00000000-0005-0000-0000-0000860C0000}"/>
    <cellStyle name="Currency 5 3 2 2 10 2" xfId="13103" xr:uid="{5DE42E0A-2D73-495C-B018-1C5F151EAD83}"/>
    <cellStyle name="Currency 5 3 2 2 10 3" xfId="21550" xr:uid="{E4F165FA-2431-46FA-BD74-9BCF81DB073C}"/>
    <cellStyle name="Currency 5 3 2 2 11" xfId="8885" xr:uid="{2971DFED-4473-437D-BC85-726300A4F47F}"/>
    <cellStyle name="Currency 5 3 2 2 12" xfId="17333" xr:uid="{4312196A-04B5-4765-916D-E1906BE33EC6}"/>
    <cellStyle name="Currency 5 3 2 2 2" xfId="212" xr:uid="{00000000-0005-0000-0000-0000870C0000}"/>
    <cellStyle name="Currency 5 3 2 2 2 10" xfId="8886" xr:uid="{EE7CCCE6-AA43-455B-89B0-0D24E73D2719}"/>
    <cellStyle name="Currency 5 3 2 2 2 11" xfId="17334" xr:uid="{5608BE9C-8EC1-40E9-9408-A532D0639104}"/>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2 2 2" xfId="15663" xr:uid="{1DCF7F8E-BACE-478E-95B6-91FE40408167}"/>
    <cellStyle name="Currency 5 3 2 2 2 2 2 2 3" xfId="24110" xr:uid="{A381E99E-ADB1-4AF9-914C-8F7ED883462F}"/>
    <cellStyle name="Currency 5 3 2 2 2 2 2 3" xfId="11445" xr:uid="{B9F51BA3-6E94-440E-8765-324C5FA6FF50}"/>
    <cellStyle name="Currency 5 3 2 2 2 2 2 4" xfId="19893" xr:uid="{A0ABD834-124C-4C99-9F0F-D66654CBE29A}"/>
    <cellStyle name="Currency 5 3 2 2 2 2 3" xfId="5068" xr:uid="{00000000-0005-0000-0000-00008B0C0000}"/>
    <cellStyle name="Currency 5 3 2 2 2 2 3 2" xfId="13518" xr:uid="{F7AAEC1F-B85E-4401-94B7-B6D2CDC0577E}"/>
    <cellStyle name="Currency 5 3 2 2 2 2 3 3" xfId="21965" xr:uid="{537750A8-03B1-4599-B0C8-184DE4388524}"/>
    <cellStyle name="Currency 5 3 2 2 2 2 4" xfId="9300" xr:uid="{9752BA77-B0E8-4A59-B596-CD4A0CDD51C3}"/>
    <cellStyle name="Currency 5 3 2 2 2 2 5" xfId="17748" xr:uid="{D8EF2B31-4BE0-424E-96CF-00385889D3BA}"/>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2 2 2" xfId="16076" xr:uid="{7D2B72F5-C3B7-403B-8B7F-ADB1C72150F0}"/>
    <cellStyle name="Currency 5 3 2 2 2 3 2 2 3" xfId="24523" xr:uid="{CDF3CE24-4497-44A4-9F87-27EEB0C17924}"/>
    <cellStyle name="Currency 5 3 2 2 2 3 2 3" xfId="11858" xr:uid="{4EE3D267-C487-45D2-9029-AD89DF01852F}"/>
    <cellStyle name="Currency 5 3 2 2 2 3 2 4" xfId="20306" xr:uid="{417ECFA8-0C0E-492A-966C-B53568CD7F22}"/>
    <cellStyle name="Currency 5 3 2 2 2 3 3" xfId="5481" xr:uid="{00000000-0005-0000-0000-00008F0C0000}"/>
    <cellStyle name="Currency 5 3 2 2 2 3 3 2" xfId="13931" xr:uid="{E1ECE45D-D14B-45D0-B820-B9860FD002F9}"/>
    <cellStyle name="Currency 5 3 2 2 2 3 3 3" xfId="22378" xr:uid="{1AC6F492-2E38-4E74-BE59-4CC407976C8F}"/>
    <cellStyle name="Currency 5 3 2 2 2 3 4" xfId="9713" xr:uid="{E4F5B6DB-BDCA-4139-839A-3943CE0DEC2F}"/>
    <cellStyle name="Currency 5 3 2 2 2 3 5" xfId="18161" xr:uid="{831BF019-6F70-46E1-9731-539F5FFA33AA}"/>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2 2 2" xfId="16489" xr:uid="{C9244B1B-12EF-4476-854F-2355F20CA7CF}"/>
    <cellStyle name="Currency 5 3 2 2 2 4 2 2 3" xfId="24936" xr:uid="{2E16EE3E-9450-4262-BDE7-7F44AB25E84E}"/>
    <cellStyle name="Currency 5 3 2 2 2 4 2 3" xfId="12271" xr:uid="{55AFD28A-2F1E-451E-A598-EA98063D290C}"/>
    <cellStyle name="Currency 5 3 2 2 2 4 2 4" xfId="20719" xr:uid="{6F1B5EBE-B708-4CD2-8F3B-27EADC4B1316}"/>
    <cellStyle name="Currency 5 3 2 2 2 4 3" xfId="5894" xr:uid="{00000000-0005-0000-0000-0000930C0000}"/>
    <cellStyle name="Currency 5 3 2 2 2 4 3 2" xfId="14344" xr:uid="{62CF2C74-71D2-4E62-A760-045C768BDA8B}"/>
    <cellStyle name="Currency 5 3 2 2 2 4 3 3" xfId="22791" xr:uid="{B6F8E41E-8F05-4AA8-AD9B-794BB6C3DC46}"/>
    <cellStyle name="Currency 5 3 2 2 2 4 4" xfId="10126" xr:uid="{3E79D29F-60C8-4959-8B69-A5D87C8B5A45}"/>
    <cellStyle name="Currency 5 3 2 2 2 4 5" xfId="18574" xr:uid="{4BF6E54E-F9FD-4278-8EE0-DE34E375AFBF}"/>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2 2 2" xfId="16902" xr:uid="{54006214-0D28-4AEF-B4EE-835A9220F21D}"/>
    <cellStyle name="Currency 5 3 2 2 2 5 2 2 3" xfId="25349" xr:uid="{B25BD127-F4D0-4171-A14A-2030AE968723}"/>
    <cellStyle name="Currency 5 3 2 2 2 5 2 3" xfId="12684" xr:uid="{AD91D70C-D7EE-4BD2-B18F-01BA7E06CA2F}"/>
    <cellStyle name="Currency 5 3 2 2 2 5 2 4" xfId="21132" xr:uid="{34B2D104-68EF-4D14-B6A6-6F57441EA824}"/>
    <cellStyle name="Currency 5 3 2 2 2 5 3" xfId="6307" xr:uid="{00000000-0005-0000-0000-0000970C0000}"/>
    <cellStyle name="Currency 5 3 2 2 2 5 3 2" xfId="14757" xr:uid="{F447C3A4-A097-4AC8-B21D-D7EFC50F22B7}"/>
    <cellStyle name="Currency 5 3 2 2 2 5 3 3" xfId="23204" xr:uid="{5674AF18-1167-4272-AD8E-7A7BA86B366F}"/>
    <cellStyle name="Currency 5 3 2 2 2 5 4" xfId="10539" xr:uid="{8A2CDBFC-4657-4A40-A327-E16DC7066A02}"/>
    <cellStyle name="Currency 5 3 2 2 2 5 5" xfId="18987" xr:uid="{1122B4AC-7E1C-4A12-8D59-F0B1A8A30FF2}"/>
    <cellStyle name="Currency 5 3 2 2 2 6" xfId="2436" xr:uid="{00000000-0005-0000-0000-0000980C0000}"/>
    <cellStyle name="Currency 5 3 2 2 2 6 2" xfId="6720" xr:uid="{00000000-0005-0000-0000-0000990C0000}"/>
    <cellStyle name="Currency 5 3 2 2 2 6 2 2" xfId="15170" xr:uid="{D0F1C8CA-A76B-4A01-9E36-EBA3850F9E03}"/>
    <cellStyle name="Currency 5 3 2 2 2 6 2 3" xfId="23617" xr:uid="{88C0A0D7-80B4-4629-80C1-3381720FC41C}"/>
    <cellStyle name="Currency 5 3 2 2 2 6 3" xfId="10952" xr:uid="{05C53261-A29A-4730-BC61-BCDE49148EF2}"/>
    <cellStyle name="Currency 5 3 2 2 2 6 4" xfId="19400" xr:uid="{DA75C431-021B-4AA2-A1E1-EE3B5DD6E403}"/>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8 2 2" xfId="15487" xr:uid="{A599F907-5863-4FED-8EAC-389B7EB75280}"/>
    <cellStyle name="Currency 5 3 2 2 2 8 2 3" xfId="23934" xr:uid="{43F47D75-99BF-498B-B15C-3FCC3E75978B}"/>
    <cellStyle name="Currency 5 3 2 2 2 8 3" xfId="11269" xr:uid="{819EDFAD-8E01-4DCD-A27B-9EC4916D8BBC}"/>
    <cellStyle name="Currency 5 3 2 2 2 8 4" xfId="19717" xr:uid="{02FF99F9-CA47-492C-9873-30018BCF71F0}"/>
    <cellStyle name="Currency 5 3 2 2 2 9" xfId="4654" xr:uid="{00000000-0005-0000-0000-00009D0C0000}"/>
    <cellStyle name="Currency 5 3 2 2 2 9 2" xfId="13104" xr:uid="{4229476D-76F7-4AC4-9489-258C04AC6192}"/>
    <cellStyle name="Currency 5 3 2 2 2 9 3" xfId="21551" xr:uid="{2DECCDDA-C2EB-4A46-888A-002E26A861B5}"/>
    <cellStyle name="Currency 5 3 2 2 3" xfId="737" xr:uid="{00000000-0005-0000-0000-00009E0C0000}"/>
    <cellStyle name="Currency 5 3 2 2 3 2" xfId="2990" xr:uid="{00000000-0005-0000-0000-00009F0C0000}"/>
    <cellStyle name="Currency 5 3 2 2 3 2 2" xfId="7212" xr:uid="{00000000-0005-0000-0000-0000A00C0000}"/>
    <cellStyle name="Currency 5 3 2 2 3 2 2 2" xfId="15662" xr:uid="{81C8026D-4DA2-4D95-8442-779FED3C5F88}"/>
    <cellStyle name="Currency 5 3 2 2 3 2 2 3" xfId="24109" xr:uid="{F9B797D9-A933-44F5-9816-A556AE4F6896}"/>
    <cellStyle name="Currency 5 3 2 2 3 2 3" xfId="11444" xr:uid="{F9BE546F-B223-4A8A-B1CE-7FE7F975924A}"/>
    <cellStyle name="Currency 5 3 2 2 3 2 4" xfId="19892" xr:uid="{05F09A53-234F-4678-9C34-12101582CC97}"/>
    <cellStyle name="Currency 5 3 2 2 3 3" xfId="5067" xr:uid="{00000000-0005-0000-0000-0000A10C0000}"/>
    <cellStyle name="Currency 5 3 2 2 3 3 2" xfId="13517" xr:uid="{79CDB671-989E-4EA3-85B1-92205D194D64}"/>
    <cellStyle name="Currency 5 3 2 2 3 3 3" xfId="21964" xr:uid="{4169AA9B-7C4D-47EA-8911-6F8D52C8CF29}"/>
    <cellStyle name="Currency 5 3 2 2 3 4" xfId="9299" xr:uid="{90101A7A-960A-4BB0-8512-8E63488B7FFA}"/>
    <cellStyle name="Currency 5 3 2 2 3 5" xfId="17747" xr:uid="{060EF1C2-B5A0-40C2-88FF-B826F8ADAC52}"/>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2 2 2" xfId="16075" xr:uid="{1BF5D12D-B090-4878-861F-F746D80602D0}"/>
    <cellStyle name="Currency 5 3 2 2 4 2 2 3" xfId="24522" xr:uid="{479F4006-3E2D-4190-83EB-BFECD67021B2}"/>
    <cellStyle name="Currency 5 3 2 2 4 2 3" xfId="11857" xr:uid="{0F85CBCA-5A12-4F59-BE92-BD92348D55BF}"/>
    <cellStyle name="Currency 5 3 2 2 4 2 4" xfId="20305" xr:uid="{C928F7AE-CF1B-4BC7-9EFA-96AD74A1D8D0}"/>
    <cellStyle name="Currency 5 3 2 2 4 3" xfId="5480" xr:uid="{00000000-0005-0000-0000-0000A50C0000}"/>
    <cellStyle name="Currency 5 3 2 2 4 3 2" xfId="13930" xr:uid="{12D6BA69-C809-4467-88D9-17E998CBF767}"/>
    <cellStyle name="Currency 5 3 2 2 4 3 3" xfId="22377" xr:uid="{A8D5847C-48FC-4C5F-8409-959D868ACC01}"/>
    <cellStyle name="Currency 5 3 2 2 4 4" xfId="9712" xr:uid="{CDE81BEE-153A-4C4E-A4E0-1120A440058C}"/>
    <cellStyle name="Currency 5 3 2 2 4 5" xfId="18160" xr:uid="{50E3B200-E475-4B5C-929F-21AD6EAB84B9}"/>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2 2 2" xfId="16488" xr:uid="{AD8D47CA-61F6-471E-B524-236141DD1F78}"/>
    <cellStyle name="Currency 5 3 2 2 5 2 2 3" xfId="24935" xr:uid="{7E2D3E37-E32A-4ADC-9529-7A569CFDE3C6}"/>
    <cellStyle name="Currency 5 3 2 2 5 2 3" xfId="12270" xr:uid="{76724142-7C10-4312-B225-85A6B95D3392}"/>
    <cellStyle name="Currency 5 3 2 2 5 2 4" xfId="20718" xr:uid="{941AA20F-3812-4355-9440-6DE6FD951C32}"/>
    <cellStyle name="Currency 5 3 2 2 5 3" xfId="5893" xr:uid="{00000000-0005-0000-0000-0000A90C0000}"/>
    <cellStyle name="Currency 5 3 2 2 5 3 2" xfId="14343" xr:uid="{E6576DBB-21DA-4DA7-B34E-AF56013D77FE}"/>
    <cellStyle name="Currency 5 3 2 2 5 3 3" xfId="22790" xr:uid="{CF9D8EF1-73E0-41AE-8EB5-6CB168E468A3}"/>
    <cellStyle name="Currency 5 3 2 2 5 4" xfId="10125" xr:uid="{9CC6E79E-2704-4E22-9D34-32EFFB6CA8C8}"/>
    <cellStyle name="Currency 5 3 2 2 5 5" xfId="18573" xr:uid="{FE9A8349-00AD-40A6-81A5-6725F22C380C}"/>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2 2 2" xfId="16901" xr:uid="{AD8DF1FD-38B7-4C7B-BA8C-D55635BF7626}"/>
    <cellStyle name="Currency 5 3 2 2 6 2 2 3" xfId="25348" xr:uid="{1C6FD612-86FE-4B00-8BDE-11B1073CC5F3}"/>
    <cellStyle name="Currency 5 3 2 2 6 2 3" xfId="12683" xr:uid="{298F96DD-F5BC-4983-ACF2-F0177C166635}"/>
    <cellStyle name="Currency 5 3 2 2 6 2 4" xfId="21131" xr:uid="{5294185F-9E6C-4B14-96DA-093F59D81F6F}"/>
    <cellStyle name="Currency 5 3 2 2 6 3" xfId="6306" xr:uid="{00000000-0005-0000-0000-0000AD0C0000}"/>
    <cellStyle name="Currency 5 3 2 2 6 3 2" xfId="14756" xr:uid="{D9FD4B35-551B-4C6C-B7EE-22A515CF8C9C}"/>
    <cellStyle name="Currency 5 3 2 2 6 3 3" xfId="23203" xr:uid="{D5C7F60F-D826-4E15-92E0-1C6A04F4BB87}"/>
    <cellStyle name="Currency 5 3 2 2 6 4" xfId="10538" xr:uid="{7C6BF39D-76F6-466B-B795-000F97535450}"/>
    <cellStyle name="Currency 5 3 2 2 6 5" xfId="18986" xr:uid="{C5DECE9A-0CEB-47BB-93E2-7F708879ABA7}"/>
    <cellStyle name="Currency 5 3 2 2 7" xfId="2435" xr:uid="{00000000-0005-0000-0000-0000AE0C0000}"/>
    <cellStyle name="Currency 5 3 2 2 7 2" xfId="6719" xr:uid="{00000000-0005-0000-0000-0000AF0C0000}"/>
    <cellStyle name="Currency 5 3 2 2 7 2 2" xfId="15169" xr:uid="{AD9B6AE6-3D54-4797-A854-0D7FD4EA6B01}"/>
    <cellStyle name="Currency 5 3 2 2 7 2 3" xfId="23616" xr:uid="{F61A55AC-111E-44B4-A5AF-53D9B0E64A17}"/>
    <cellStyle name="Currency 5 3 2 2 7 3" xfId="10951" xr:uid="{5B214132-359D-4CAD-BA72-EC79535CC5DC}"/>
    <cellStyle name="Currency 5 3 2 2 7 4" xfId="19399" xr:uid="{E0D0998A-F057-4677-9B99-65B307DF5EE5}"/>
    <cellStyle name="Currency 5 3 2 2 8" xfId="2732" xr:uid="{00000000-0005-0000-0000-0000B00C0000}"/>
    <cellStyle name="Currency 5 3 2 2 9" xfId="2813" xr:uid="{00000000-0005-0000-0000-0000B10C0000}"/>
    <cellStyle name="Currency 5 3 2 2 9 2" xfId="7036" xr:uid="{00000000-0005-0000-0000-0000B20C0000}"/>
    <cellStyle name="Currency 5 3 2 2 9 2 2" xfId="15486" xr:uid="{1CEA9681-CF7D-4C80-9ADD-EA8A19B9F45D}"/>
    <cellStyle name="Currency 5 3 2 2 9 2 3" xfId="23933" xr:uid="{082D8B32-98F1-4A6B-A8B4-7324C8ECFBCD}"/>
    <cellStyle name="Currency 5 3 2 2 9 3" xfId="11268" xr:uid="{D9FC44B0-438A-4ED4-8B7B-60249FA4BC9D}"/>
    <cellStyle name="Currency 5 3 2 2 9 4" xfId="19716" xr:uid="{CEEB5A0A-DC34-4976-89E7-70278C876551}"/>
    <cellStyle name="Currency 5 3 2 3" xfId="213" xr:uid="{00000000-0005-0000-0000-0000B30C0000}"/>
    <cellStyle name="Currency 5 3 2 3 10" xfId="8887" xr:uid="{90896028-3E78-430C-BD9F-48B80C363297}"/>
    <cellStyle name="Currency 5 3 2 3 11" xfId="17335" xr:uid="{CE9FE18D-97F5-42E6-A11A-870BE4DEB50B}"/>
    <cellStyle name="Currency 5 3 2 3 2" xfId="739" xr:uid="{00000000-0005-0000-0000-0000B40C0000}"/>
    <cellStyle name="Currency 5 3 2 3 2 2" xfId="2992" xr:uid="{00000000-0005-0000-0000-0000B50C0000}"/>
    <cellStyle name="Currency 5 3 2 3 2 2 2" xfId="7214" xr:uid="{00000000-0005-0000-0000-0000B60C0000}"/>
    <cellStyle name="Currency 5 3 2 3 2 2 2 2" xfId="15664" xr:uid="{71F03BF2-CFF6-4690-AF71-B4598E593558}"/>
    <cellStyle name="Currency 5 3 2 3 2 2 2 3" xfId="24111" xr:uid="{228342FF-6AEB-4224-81A1-B1C96EA99145}"/>
    <cellStyle name="Currency 5 3 2 3 2 2 3" xfId="11446" xr:uid="{72A32792-2A87-4FEA-8F59-A6100E1CF9AD}"/>
    <cellStyle name="Currency 5 3 2 3 2 2 4" xfId="19894" xr:uid="{321E83B5-0057-4373-BAF9-92EC04EB5B3F}"/>
    <cellStyle name="Currency 5 3 2 3 2 3" xfId="5069" xr:uid="{00000000-0005-0000-0000-0000B70C0000}"/>
    <cellStyle name="Currency 5 3 2 3 2 3 2" xfId="13519" xr:uid="{60A5FAD0-0C80-4D25-9C37-C7F14CA3431E}"/>
    <cellStyle name="Currency 5 3 2 3 2 3 3" xfId="21966" xr:uid="{B120080D-182D-42FF-A0A0-028DF837CBAA}"/>
    <cellStyle name="Currency 5 3 2 3 2 4" xfId="9301" xr:uid="{D93914DC-2BBF-428A-8FCB-F97578A92C0C}"/>
    <cellStyle name="Currency 5 3 2 3 2 5" xfId="17749" xr:uid="{866B6A22-909F-42FE-9E4D-182765F3D688}"/>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2 2 2" xfId="16077" xr:uid="{C697CB5D-578B-4B05-B6FD-C800E98E8422}"/>
    <cellStyle name="Currency 5 3 2 3 3 2 2 3" xfId="24524" xr:uid="{72C5B1A9-51E2-4259-BB05-434923DA0F61}"/>
    <cellStyle name="Currency 5 3 2 3 3 2 3" xfId="11859" xr:uid="{769ADDC5-41FE-4812-8F04-D5973B2BA809}"/>
    <cellStyle name="Currency 5 3 2 3 3 2 4" xfId="20307" xr:uid="{20AA5A5F-7D2E-40A8-AC83-2E446D9AD7C4}"/>
    <cellStyle name="Currency 5 3 2 3 3 3" xfId="5482" xr:uid="{00000000-0005-0000-0000-0000BB0C0000}"/>
    <cellStyle name="Currency 5 3 2 3 3 3 2" xfId="13932" xr:uid="{98BC7295-99C8-4D24-BDBC-56D5CE4F314F}"/>
    <cellStyle name="Currency 5 3 2 3 3 3 3" xfId="22379" xr:uid="{685DC4FC-836F-4BC4-B177-68C5ED1C84E3}"/>
    <cellStyle name="Currency 5 3 2 3 3 4" xfId="9714" xr:uid="{533E9312-CAC0-4AD5-B581-C5D34DBEEE0A}"/>
    <cellStyle name="Currency 5 3 2 3 3 5" xfId="18162" xr:uid="{7995FCE5-89D3-4A59-806C-6F1AB93B9F92}"/>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2 2 2" xfId="16490" xr:uid="{E9A883C6-559E-46C9-A9E4-0BE6A615A54A}"/>
    <cellStyle name="Currency 5 3 2 3 4 2 2 3" xfId="24937" xr:uid="{7BC998DE-8465-48C3-8043-197474A73976}"/>
    <cellStyle name="Currency 5 3 2 3 4 2 3" xfId="12272" xr:uid="{98631F0B-03E9-4B37-A73A-293CAE7082A6}"/>
    <cellStyle name="Currency 5 3 2 3 4 2 4" xfId="20720" xr:uid="{0BEF28AF-F3E6-4039-8299-DEEB6A6FBA0B}"/>
    <cellStyle name="Currency 5 3 2 3 4 3" xfId="5895" xr:uid="{00000000-0005-0000-0000-0000BF0C0000}"/>
    <cellStyle name="Currency 5 3 2 3 4 3 2" xfId="14345" xr:uid="{72A3E0EE-1F1C-434C-8563-CDB88FF588D8}"/>
    <cellStyle name="Currency 5 3 2 3 4 3 3" xfId="22792" xr:uid="{124AFAAE-7874-408E-A59C-C5ED09EF0D54}"/>
    <cellStyle name="Currency 5 3 2 3 4 4" xfId="10127" xr:uid="{89F541D6-19DF-4CFB-81D2-4921AC718292}"/>
    <cellStyle name="Currency 5 3 2 3 4 5" xfId="18575" xr:uid="{C0A3E212-6AB4-4E5C-A48E-6E373EFC28FE}"/>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2 2 2" xfId="16903" xr:uid="{591F9F3A-4049-4187-A20C-75050DFB6FFB}"/>
    <cellStyle name="Currency 5 3 2 3 5 2 2 3" xfId="25350" xr:uid="{F25F95B2-63D8-45B2-9ED6-5413E88F404B}"/>
    <cellStyle name="Currency 5 3 2 3 5 2 3" xfId="12685" xr:uid="{A826D8C0-90E3-4FC9-B7D4-31F2B70BEDD0}"/>
    <cellStyle name="Currency 5 3 2 3 5 2 4" xfId="21133" xr:uid="{728AAFB7-B1A7-43AC-9FED-2B3D322D6910}"/>
    <cellStyle name="Currency 5 3 2 3 5 3" xfId="6308" xr:uid="{00000000-0005-0000-0000-0000C30C0000}"/>
    <cellStyle name="Currency 5 3 2 3 5 3 2" xfId="14758" xr:uid="{C6748300-60E5-4DB0-9DBB-810FEF0B2E0B}"/>
    <cellStyle name="Currency 5 3 2 3 5 3 3" xfId="23205" xr:uid="{F3C2AE68-83D0-4753-831E-3B87F60081CF}"/>
    <cellStyle name="Currency 5 3 2 3 5 4" xfId="10540" xr:uid="{DC7F73B0-B566-45A3-8061-C8E781C7F8EC}"/>
    <cellStyle name="Currency 5 3 2 3 5 5" xfId="18988" xr:uid="{BA449B33-D313-4B9B-81F2-F61419C3D4D3}"/>
    <cellStyle name="Currency 5 3 2 3 6" xfId="2437" xr:uid="{00000000-0005-0000-0000-0000C40C0000}"/>
    <cellStyle name="Currency 5 3 2 3 6 2" xfId="6721" xr:uid="{00000000-0005-0000-0000-0000C50C0000}"/>
    <cellStyle name="Currency 5 3 2 3 6 2 2" xfId="15171" xr:uid="{3203DC99-E9E6-462C-9DD4-17BFDF7610C5}"/>
    <cellStyle name="Currency 5 3 2 3 6 2 3" xfId="23618" xr:uid="{2F91A5C2-84C4-4394-8FA1-13782030419C}"/>
    <cellStyle name="Currency 5 3 2 3 6 3" xfId="10953" xr:uid="{074DDAD0-997F-442D-A018-7A1629A13B80}"/>
    <cellStyle name="Currency 5 3 2 3 6 4" xfId="19401" xr:uid="{198052F3-3CE9-4FAD-B79E-8EC6C9CC4AEB}"/>
    <cellStyle name="Currency 5 3 2 3 7" xfId="2734" xr:uid="{00000000-0005-0000-0000-0000C60C0000}"/>
    <cellStyle name="Currency 5 3 2 3 8" xfId="2815" xr:uid="{00000000-0005-0000-0000-0000C70C0000}"/>
    <cellStyle name="Currency 5 3 2 3 8 2" xfId="7038" xr:uid="{00000000-0005-0000-0000-0000C80C0000}"/>
    <cellStyle name="Currency 5 3 2 3 8 2 2" xfId="15488" xr:uid="{84E30FAA-740E-44C2-9769-58291E370872}"/>
    <cellStyle name="Currency 5 3 2 3 8 2 3" xfId="23935" xr:uid="{0D83C6FC-8131-45C3-93F0-E453863138AE}"/>
    <cellStyle name="Currency 5 3 2 3 8 3" xfId="11270" xr:uid="{CD69315B-693A-4302-B028-849B64B91CF6}"/>
    <cellStyle name="Currency 5 3 2 3 8 4" xfId="19718" xr:uid="{E1708B6D-94B5-47EA-AF87-AF281AE0340D}"/>
    <cellStyle name="Currency 5 3 2 3 9" xfId="4655" xr:uid="{00000000-0005-0000-0000-0000C90C0000}"/>
    <cellStyle name="Currency 5 3 2 3 9 2" xfId="13105" xr:uid="{A3958DD0-3677-45C2-B5C4-434C8C2EA37B}"/>
    <cellStyle name="Currency 5 3 2 3 9 3" xfId="21552" xr:uid="{B3C6AF1F-321B-4FFC-A809-D76BD4DD7136}"/>
    <cellStyle name="Currency 5 3 2 4" xfId="736" xr:uid="{00000000-0005-0000-0000-0000CA0C0000}"/>
    <cellStyle name="Currency 5 3 2 4 2" xfId="2989" xr:uid="{00000000-0005-0000-0000-0000CB0C0000}"/>
    <cellStyle name="Currency 5 3 2 4 2 2" xfId="7211" xr:uid="{00000000-0005-0000-0000-0000CC0C0000}"/>
    <cellStyle name="Currency 5 3 2 4 2 2 2" xfId="15661" xr:uid="{E6F349BA-BB23-43EF-A235-2E0ADF8F1749}"/>
    <cellStyle name="Currency 5 3 2 4 2 2 3" xfId="24108" xr:uid="{6437EC97-84E6-4F03-9F8A-76B086A20567}"/>
    <cellStyle name="Currency 5 3 2 4 2 3" xfId="11443" xr:uid="{F73B890E-9ACF-4FD8-86D6-A5D36DBFD680}"/>
    <cellStyle name="Currency 5 3 2 4 2 4" xfId="19891" xr:uid="{723FCD67-FB87-41CD-9913-EBD0ED1C4327}"/>
    <cellStyle name="Currency 5 3 2 4 3" xfId="5066" xr:uid="{00000000-0005-0000-0000-0000CD0C0000}"/>
    <cellStyle name="Currency 5 3 2 4 3 2" xfId="13516" xr:uid="{D4F193B3-E8A9-4B70-A8DD-E50C0B19234A}"/>
    <cellStyle name="Currency 5 3 2 4 3 3" xfId="21963" xr:uid="{BCA3DAEB-EDB0-4115-893A-7F114A36426C}"/>
    <cellStyle name="Currency 5 3 2 4 4" xfId="9298" xr:uid="{367D0898-E55F-4806-A166-5FB3DBA23739}"/>
    <cellStyle name="Currency 5 3 2 4 5" xfId="17746" xr:uid="{6FAEEAA6-CA26-49D1-9966-A267662152CA}"/>
    <cellStyle name="Currency 5 3 2 5" xfId="1171" xr:uid="{00000000-0005-0000-0000-0000CE0C0000}"/>
    <cellStyle name="Currency 5 3 2 5 2" xfId="3402" xr:uid="{00000000-0005-0000-0000-0000CF0C0000}"/>
    <cellStyle name="Currency 5 3 2 5 2 2" xfId="7624" xr:uid="{00000000-0005-0000-0000-0000D00C0000}"/>
    <cellStyle name="Currency 5 3 2 5 2 2 2" xfId="16074" xr:uid="{B5F0780E-CE6A-4E6F-A8C8-58CB568AB6A0}"/>
    <cellStyle name="Currency 5 3 2 5 2 2 3" xfId="24521" xr:uid="{B4037DC4-6ADC-410D-82E0-B374D21E4E85}"/>
    <cellStyle name="Currency 5 3 2 5 2 3" xfId="11856" xr:uid="{B86041CF-1C16-4486-A4D6-A33C9106BC1D}"/>
    <cellStyle name="Currency 5 3 2 5 2 4" xfId="20304" xr:uid="{7910A037-9663-433C-B7B8-4AFDC24B68B9}"/>
    <cellStyle name="Currency 5 3 2 5 3" xfId="5479" xr:uid="{00000000-0005-0000-0000-0000D10C0000}"/>
    <cellStyle name="Currency 5 3 2 5 3 2" xfId="13929" xr:uid="{DE856AE9-22CF-4889-BDB9-EF98C3D5FFA6}"/>
    <cellStyle name="Currency 5 3 2 5 3 3" xfId="22376" xr:uid="{79489BDE-3955-43D2-97F7-20E9260CA1B1}"/>
    <cellStyle name="Currency 5 3 2 5 4" xfId="9711" xr:uid="{A9DF4AE1-FA3B-4CCE-9FE7-1DE534E3AE37}"/>
    <cellStyle name="Currency 5 3 2 5 5" xfId="18159" xr:uid="{E8CEDA9A-4E20-45BB-8B96-F9ECA33E99CC}"/>
    <cellStyle name="Currency 5 3 2 6" xfId="1585" xr:uid="{00000000-0005-0000-0000-0000D20C0000}"/>
    <cellStyle name="Currency 5 3 2 6 2" xfId="3815" xr:uid="{00000000-0005-0000-0000-0000D30C0000}"/>
    <cellStyle name="Currency 5 3 2 6 2 2" xfId="8037" xr:uid="{00000000-0005-0000-0000-0000D40C0000}"/>
    <cellStyle name="Currency 5 3 2 6 2 2 2" xfId="16487" xr:uid="{57646990-7593-4069-9CD3-ECAC6149049D}"/>
    <cellStyle name="Currency 5 3 2 6 2 2 3" xfId="24934" xr:uid="{CDABA8CF-1B0D-4FF4-972B-F72C455BDAB9}"/>
    <cellStyle name="Currency 5 3 2 6 2 3" xfId="12269" xr:uid="{FB4D7108-D1C2-4B82-99AA-F56FD0E1E8C8}"/>
    <cellStyle name="Currency 5 3 2 6 2 4" xfId="20717" xr:uid="{41B26341-094A-46B1-AC1D-DC435CAC1360}"/>
    <cellStyle name="Currency 5 3 2 6 3" xfId="5892" xr:uid="{00000000-0005-0000-0000-0000D50C0000}"/>
    <cellStyle name="Currency 5 3 2 6 3 2" xfId="14342" xr:uid="{13CF5D7A-A471-46B2-BBF7-3A7053009510}"/>
    <cellStyle name="Currency 5 3 2 6 3 3" xfId="22789" xr:uid="{51F7BBED-E0CC-41C0-B8AE-58D60533919A}"/>
    <cellStyle name="Currency 5 3 2 6 4" xfId="10124" xr:uid="{3EE147DC-E3AE-4FAD-BAD0-4472E33D39C4}"/>
    <cellStyle name="Currency 5 3 2 6 5" xfId="18572" xr:uid="{716897C5-F371-4825-B6F4-89EB4A9E38C9}"/>
    <cellStyle name="Currency 5 3 2 7" xfId="1999" xr:uid="{00000000-0005-0000-0000-0000D60C0000}"/>
    <cellStyle name="Currency 5 3 2 7 2" xfId="4228" xr:uid="{00000000-0005-0000-0000-0000D70C0000}"/>
    <cellStyle name="Currency 5 3 2 7 2 2" xfId="8450" xr:uid="{00000000-0005-0000-0000-0000D80C0000}"/>
    <cellStyle name="Currency 5 3 2 7 2 2 2" xfId="16900" xr:uid="{90291FAD-1381-4278-A41A-08579E0A360F}"/>
    <cellStyle name="Currency 5 3 2 7 2 2 3" xfId="25347" xr:uid="{7ADA50B5-5449-4510-8283-798EA766FACE}"/>
    <cellStyle name="Currency 5 3 2 7 2 3" xfId="12682" xr:uid="{DBAE7E78-AFB9-4574-8673-4E7758F1A44D}"/>
    <cellStyle name="Currency 5 3 2 7 2 4" xfId="21130" xr:uid="{95DCC718-CF27-492D-8367-B24A457E512F}"/>
    <cellStyle name="Currency 5 3 2 7 3" xfId="6305" xr:uid="{00000000-0005-0000-0000-0000D90C0000}"/>
    <cellStyle name="Currency 5 3 2 7 3 2" xfId="14755" xr:uid="{1EC1EA74-A75F-4115-A89D-901E6A435EBA}"/>
    <cellStyle name="Currency 5 3 2 7 3 3" xfId="23202" xr:uid="{81D988BF-D9F3-4FD4-A806-3C3DF9B13321}"/>
    <cellStyle name="Currency 5 3 2 7 4" xfId="10537" xr:uid="{B3523EE9-6464-47A2-8F22-97E71EB8CE38}"/>
    <cellStyle name="Currency 5 3 2 7 5" xfId="18985" xr:uid="{CE78B5B2-3026-4CDC-AB79-E71C898429C1}"/>
    <cellStyle name="Currency 5 3 2 8" xfId="2434" xr:uid="{00000000-0005-0000-0000-0000DA0C0000}"/>
    <cellStyle name="Currency 5 3 2 8 2" xfId="6718" xr:uid="{00000000-0005-0000-0000-0000DB0C0000}"/>
    <cellStyle name="Currency 5 3 2 8 2 2" xfId="15168" xr:uid="{7B08112C-D8BC-4C27-8139-1028F697F241}"/>
    <cellStyle name="Currency 5 3 2 8 2 3" xfId="23615" xr:uid="{90F5076B-1DFD-4292-B89A-87FCB2D99B90}"/>
    <cellStyle name="Currency 5 3 2 8 3" xfId="10950" xr:uid="{A6C09108-2805-4FDE-ADED-991FEF8B4372}"/>
    <cellStyle name="Currency 5 3 2 8 4" xfId="19398" xr:uid="{078A6779-A6B7-4CF1-830B-603DA10FFA8E}"/>
    <cellStyle name="Currency 5 3 2 9" xfId="2731" xr:uid="{00000000-0005-0000-0000-0000DC0C0000}"/>
    <cellStyle name="Currency 5 3 3" xfId="214" xr:uid="{00000000-0005-0000-0000-0000DD0C0000}"/>
    <cellStyle name="Currency 5 3 3 10" xfId="4656" xr:uid="{00000000-0005-0000-0000-0000DE0C0000}"/>
    <cellStyle name="Currency 5 3 3 10 2" xfId="13106" xr:uid="{B4D2C606-5ACA-4F57-9A2D-F7B5EFE0A254}"/>
    <cellStyle name="Currency 5 3 3 10 3" xfId="21553" xr:uid="{AC2478CC-951B-4FAC-B7CD-F845AC799C89}"/>
    <cellStyle name="Currency 5 3 3 11" xfId="8888" xr:uid="{2C779CE1-C087-40FF-A25B-7B392DD17370}"/>
    <cellStyle name="Currency 5 3 3 12" xfId="17336" xr:uid="{B424448A-FA76-45C0-BB86-7AB6281D1FD3}"/>
    <cellStyle name="Currency 5 3 3 2" xfId="215" xr:uid="{00000000-0005-0000-0000-0000DF0C0000}"/>
    <cellStyle name="Currency 5 3 3 2 10" xfId="8889" xr:uid="{5536367B-6109-472C-B730-5B465B0953FC}"/>
    <cellStyle name="Currency 5 3 3 2 11" xfId="17337" xr:uid="{256EC314-7086-4DEE-A0AC-DFBE4253C66A}"/>
    <cellStyle name="Currency 5 3 3 2 2" xfId="741" xr:uid="{00000000-0005-0000-0000-0000E00C0000}"/>
    <cellStyle name="Currency 5 3 3 2 2 2" xfId="2994" xr:uid="{00000000-0005-0000-0000-0000E10C0000}"/>
    <cellStyle name="Currency 5 3 3 2 2 2 2" xfId="7216" xr:uid="{00000000-0005-0000-0000-0000E20C0000}"/>
    <cellStyle name="Currency 5 3 3 2 2 2 2 2" xfId="15666" xr:uid="{E06F1C6B-BEF0-43DD-8923-A97B68109D40}"/>
    <cellStyle name="Currency 5 3 3 2 2 2 2 3" xfId="24113" xr:uid="{79C72DB1-D769-42F2-979D-F5D0E676B554}"/>
    <cellStyle name="Currency 5 3 3 2 2 2 3" xfId="11448" xr:uid="{8774021D-3C5F-4D60-B2FD-2363136152CB}"/>
    <cellStyle name="Currency 5 3 3 2 2 2 4" xfId="19896" xr:uid="{8214EF2E-1C62-49BD-8906-FD174B4930F0}"/>
    <cellStyle name="Currency 5 3 3 2 2 3" xfId="5071" xr:uid="{00000000-0005-0000-0000-0000E30C0000}"/>
    <cellStyle name="Currency 5 3 3 2 2 3 2" xfId="13521" xr:uid="{1CD75BA3-3CDD-4BF6-87D1-3E438DA81DB7}"/>
    <cellStyle name="Currency 5 3 3 2 2 3 3" xfId="21968" xr:uid="{FA69F501-F449-4FFF-8AC9-EC0393CC9A53}"/>
    <cellStyle name="Currency 5 3 3 2 2 4" xfId="9303" xr:uid="{F954E69A-A325-4C69-9B9C-EF4EB154F791}"/>
    <cellStyle name="Currency 5 3 3 2 2 5" xfId="17751" xr:uid="{2FCD48BB-133F-46D7-BA66-5AD8321D05A2}"/>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2 2 2" xfId="16079" xr:uid="{356AD6D7-CB71-41DB-802D-FCFABC0CAB02}"/>
    <cellStyle name="Currency 5 3 3 2 3 2 2 3" xfId="24526" xr:uid="{D37B1EC6-1762-42D1-BB60-BECA6F9A9D82}"/>
    <cellStyle name="Currency 5 3 3 2 3 2 3" xfId="11861" xr:uid="{84E1AC13-F46B-4AFB-96C9-9D35E8F6BC9E}"/>
    <cellStyle name="Currency 5 3 3 2 3 2 4" xfId="20309" xr:uid="{C236605E-4B47-408F-BBB5-BF6E3CCB4583}"/>
    <cellStyle name="Currency 5 3 3 2 3 3" xfId="5484" xr:uid="{00000000-0005-0000-0000-0000E70C0000}"/>
    <cellStyle name="Currency 5 3 3 2 3 3 2" xfId="13934" xr:uid="{24A91AF3-2016-4B5F-971C-358A67E0F8FF}"/>
    <cellStyle name="Currency 5 3 3 2 3 3 3" xfId="22381" xr:uid="{FA3D2865-65C2-45BB-85D6-A83DED4A5DF3}"/>
    <cellStyle name="Currency 5 3 3 2 3 4" xfId="9716" xr:uid="{45930E0A-9CE6-420C-B8E6-7403E7AFE9F8}"/>
    <cellStyle name="Currency 5 3 3 2 3 5" xfId="18164" xr:uid="{AD448FEF-E900-4C95-872B-2574B130741A}"/>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2 2 2" xfId="16492" xr:uid="{1E199233-B04B-46B2-81E7-5E53C3DF0DAF}"/>
    <cellStyle name="Currency 5 3 3 2 4 2 2 3" xfId="24939" xr:uid="{03C28BA2-5CF5-4F87-882B-9C35831920C7}"/>
    <cellStyle name="Currency 5 3 3 2 4 2 3" xfId="12274" xr:uid="{46319932-0A11-44D7-BFD4-AFDC55E96728}"/>
    <cellStyle name="Currency 5 3 3 2 4 2 4" xfId="20722" xr:uid="{ACF8C71B-478A-4A86-A951-CCD6F9DAFA14}"/>
    <cellStyle name="Currency 5 3 3 2 4 3" xfId="5897" xr:uid="{00000000-0005-0000-0000-0000EB0C0000}"/>
    <cellStyle name="Currency 5 3 3 2 4 3 2" xfId="14347" xr:uid="{FF2EB630-3D63-4A8E-85E3-BF636E3EA84D}"/>
    <cellStyle name="Currency 5 3 3 2 4 3 3" xfId="22794" xr:uid="{0108FCA5-7DB6-4821-A7B8-63B39737F076}"/>
    <cellStyle name="Currency 5 3 3 2 4 4" xfId="10129" xr:uid="{7C2606C9-BD36-42F7-A680-80324AE2450B}"/>
    <cellStyle name="Currency 5 3 3 2 4 5" xfId="18577" xr:uid="{E966427E-69A1-43B3-88C5-892460A40AB4}"/>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2 2 2" xfId="16905" xr:uid="{55567E99-8214-4BE9-8181-0E46FBC3DAD2}"/>
    <cellStyle name="Currency 5 3 3 2 5 2 2 3" xfId="25352" xr:uid="{D4366259-D120-4B66-A0A3-F13DA49B0EA5}"/>
    <cellStyle name="Currency 5 3 3 2 5 2 3" xfId="12687" xr:uid="{82373D26-4007-43E1-967A-702D48D8F993}"/>
    <cellStyle name="Currency 5 3 3 2 5 2 4" xfId="21135" xr:uid="{8F57693C-7969-4938-8013-5E8BF7411E2E}"/>
    <cellStyle name="Currency 5 3 3 2 5 3" xfId="6310" xr:uid="{00000000-0005-0000-0000-0000EF0C0000}"/>
    <cellStyle name="Currency 5 3 3 2 5 3 2" xfId="14760" xr:uid="{67564134-77DE-42BC-B88E-BEC908DFE277}"/>
    <cellStyle name="Currency 5 3 3 2 5 3 3" xfId="23207" xr:uid="{7ED413B5-75E1-4F7E-9713-827B61FA9069}"/>
    <cellStyle name="Currency 5 3 3 2 5 4" xfId="10542" xr:uid="{B888B29D-1622-49E5-AF18-6C798E9151B7}"/>
    <cellStyle name="Currency 5 3 3 2 5 5" xfId="18990" xr:uid="{D11101A4-F568-4A56-AFEF-09D75CD68C8E}"/>
    <cellStyle name="Currency 5 3 3 2 6" xfId="2439" xr:uid="{00000000-0005-0000-0000-0000F00C0000}"/>
    <cellStyle name="Currency 5 3 3 2 6 2" xfId="6723" xr:uid="{00000000-0005-0000-0000-0000F10C0000}"/>
    <cellStyle name="Currency 5 3 3 2 6 2 2" xfId="15173" xr:uid="{7BCE4AE3-B198-44E1-BEFB-486386029515}"/>
    <cellStyle name="Currency 5 3 3 2 6 2 3" xfId="23620" xr:uid="{BEE83055-7827-4DC5-B837-C2CB59447739}"/>
    <cellStyle name="Currency 5 3 3 2 6 3" xfId="10955" xr:uid="{64F319D3-3FC9-4A87-814D-BEA714C91CD6}"/>
    <cellStyle name="Currency 5 3 3 2 6 4" xfId="19403" xr:uid="{BD5C5CAD-50B3-41A0-8FB4-E20893FEF76D}"/>
    <cellStyle name="Currency 5 3 3 2 7" xfId="2736" xr:uid="{00000000-0005-0000-0000-0000F20C0000}"/>
    <cellStyle name="Currency 5 3 3 2 8" xfId="2817" xr:uid="{00000000-0005-0000-0000-0000F30C0000}"/>
    <cellStyle name="Currency 5 3 3 2 8 2" xfId="7040" xr:uid="{00000000-0005-0000-0000-0000F40C0000}"/>
    <cellStyle name="Currency 5 3 3 2 8 2 2" xfId="15490" xr:uid="{9220841C-AFFE-4250-B2EF-58789CA99A2E}"/>
    <cellStyle name="Currency 5 3 3 2 8 2 3" xfId="23937" xr:uid="{D748D787-0DA1-40CD-82D8-DA66B3ABEA52}"/>
    <cellStyle name="Currency 5 3 3 2 8 3" xfId="11272" xr:uid="{B5EAF6F0-2CD6-4F90-9B3D-CB9389579BEF}"/>
    <cellStyle name="Currency 5 3 3 2 8 4" xfId="19720" xr:uid="{A1ABF406-2551-4BAF-A12C-756803FD7454}"/>
    <cellStyle name="Currency 5 3 3 2 9" xfId="4657" xr:uid="{00000000-0005-0000-0000-0000F50C0000}"/>
    <cellStyle name="Currency 5 3 3 2 9 2" xfId="13107" xr:uid="{49B2DE1D-0ED9-4894-A186-169F46D063D5}"/>
    <cellStyle name="Currency 5 3 3 2 9 3" xfId="21554" xr:uid="{B034EC8A-01B3-4C06-99A0-995E2D0D8BEF}"/>
    <cellStyle name="Currency 5 3 3 3" xfId="740" xr:uid="{00000000-0005-0000-0000-0000F60C0000}"/>
    <cellStyle name="Currency 5 3 3 3 2" xfId="2993" xr:uid="{00000000-0005-0000-0000-0000F70C0000}"/>
    <cellStyle name="Currency 5 3 3 3 2 2" xfId="7215" xr:uid="{00000000-0005-0000-0000-0000F80C0000}"/>
    <cellStyle name="Currency 5 3 3 3 2 2 2" xfId="15665" xr:uid="{D8CFD626-E059-4652-BE92-662ACCEAB5C2}"/>
    <cellStyle name="Currency 5 3 3 3 2 2 3" xfId="24112" xr:uid="{3922FEDA-918D-4D0C-84E8-12820CA89ACD}"/>
    <cellStyle name="Currency 5 3 3 3 2 3" xfId="11447" xr:uid="{07150F8C-00E0-43E1-B4AA-B0B20053D1B6}"/>
    <cellStyle name="Currency 5 3 3 3 2 4" xfId="19895" xr:uid="{FF149A38-AEB9-4CE5-8108-96DBAE0A01C1}"/>
    <cellStyle name="Currency 5 3 3 3 3" xfId="5070" xr:uid="{00000000-0005-0000-0000-0000F90C0000}"/>
    <cellStyle name="Currency 5 3 3 3 3 2" xfId="13520" xr:uid="{8C7776F6-B425-40ED-AC0C-D0A5D4B3AD09}"/>
    <cellStyle name="Currency 5 3 3 3 3 3" xfId="21967" xr:uid="{5AA943E6-A752-4356-B460-4C14D9D0E700}"/>
    <cellStyle name="Currency 5 3 3 3 4" xfId="9302" xr:uid="{579BDED9-5058-43D1-BB74-9E452E64CBE4}"/>
    <cellStyle name="Currency 5 3 3 3 5" xfId="17750" xr:uid="{EB38BE83-1E47-4A2D-98E1-215D92B4C5A4}"/>
    <cellStyle name="Currency 5 3 3 4" xfId="1175" xr:uid="{00000000-0005-0000-0000-0000FA0C0000}"/>
    <cellStyle name="Currency 5 3 3 4 2" xfId="3406" xr:uid="{00000000-0005-0000-0000-0000FB0C0000}"/>
    <cellStyle name="Currency 5 3 3 4 2 2" xfId="7628" xr:uid="{00000000-0005-0000-0000-0000FC0C0000}"/>
    <cellStyle name="Currency 5 3 3 4 2 2 2" xfId="16078" xr:uid="{4D42BCD1-F804-4F36-B1F8-3253B2EB9949}"/>
    <cellStyle name="Currency 5 3 3 4 2 2 3" xfId="24525" xr:uid="{759008CD-677B-45D0-BF43-D1CFC27B4027}"/>
    <cellStyle name="Currency 5 3 3 4 2 3" xfId="11860" xr:uid="{C2E7022E-94E2-48A0-B5DA-E865276CA7CA}"/>
    <cellStyle name="Currency 5 3 3 4 2 4" xfId="20308" xr:uid="{FC007729-1F21-48D1-AF75-DD7481BAF4A7}"/>
    <cellStyle name="Currency 5 3 3 4 3" xfId="5483" xr:uid="{00000000-0005-0000-0000-0000FD0C0000}"/>
    <cellStyle name="Currency 5 3 3 4 3 2" xfId="13933" xr:uid="{E1EC5CFA-5047-4390-BDEB-8F7D06E9FEDD}"/>
    <cellStyle name="Currency 5 3 3 4 3 3" xfId="22380" xr:uid="{0397F70A-4423-40BF-B0AC-22D620AE964F}"/>
    <cellStyle name="Currency 5 3 3 4 4" xfId="9715" xr:uid="{18ED79B7-D1AA-401D-A055-25BB616E29BA}"/>
    <cellStyle name="Currency 5 3 3 4 5" xfId="18163" xr:uid="{0670C5A4-4152-456F-89C4-0DAEC100A61C}"/>
    <cellStyle name="Currency 5 3 3 5" xfId="1589" xr:uid="{00000000-0005-0000-0000-0000FE0C0000}"/>
    <cellStyle name="Currency 5 3 3 5 2" xfId="3819" xr:uid="{00000000-0005-0000-0000-0000FF0C0000}"/>
    <cellStyle name="Currency 5 3 3 5 2 2" xfId="8041" xr:uid="{00000000-0005-0000-0000-0000000D0000}"/>
    <cellStyle name="Currency 5 3 3 5 2 2 2" xfId="16491" xr:uid="{129431F6-4606-4C45-8FE3-DE480DC67A4B}"/>
    <cellStyle name="Currency 5 3 3 5 2 2 3" xfId="24938" xr:uid="{B2FF46A3-B1F1-4E15-9E63-95E0F9D593A5}"/>
    <cellStyle name="Currency 5 3 3 5 2 3" xfId="12273" xr:uid="{B09A0E70-1E2B-45C4-A0E7-1218869FDC3A}"/>
    <cellStyle name="Currency 5 3 3 5 2 4" xfId="20721" xr:uid="{B3CC58C4-3A98-4497-AE26-E5C070A98625}"/>
    <cellStyle name="Currency 5 3 3 5 3" xfId="5896" xr:uid="{00000000-0005-0000-0000-0000010D0000}"/>
    <cellStyle name="Currency 5 3 3 5 3 2" xfId="14346" xr:uid="{D19598B1-E36E-479E-8D24-F6159F73FB76}"/>
    <cellStyle name="Currency 5 3 3 5 3 3" xfId="22793" xr:uid="{847FE511-C113-463D-A907-FB1339704207}"/>
    <cellStyle name="Currency 5 3 3 5 4" xfId="10128" xr:uid="{E69F7AF6-7CBC-4508-9ED0-E9ED56C6E2E6}"/>
    <cellStyle name="Currency 5 3 3 5 5" xfId="18576" xr:uid="{9E80D476-A0CB-4356-83F2-AF98E26962FC}"/>
    <cellStyle name="Currency 5 3 3 6" xfId="2003" xr:uid="{00000000-0005-0000-0000-0000020D0000}"/>
    <cellStyle name="Currency 5 3 3 6 2" xfId="4232" xr:uid="{00000000-0005-0000-0000-0000030D0000}"/>
    <cellStyle name="Currency 5 3 3 6 2 2" xfId="8454" xr:uid="{00000000-0005-0000-0000-0000040D0000}"/>
    <cellStyle name="Currency 5 3 3 6 2 2 2" xfId="16904" xr:uid="{6F145B00-73FC-4F1B-B4AC-AD49ADCECE0E}"/>
    <cellStyle name="Currency 5 3 3 6 2 2 3" xfId="25351" xr:uid="{4BFF52C1-376B-4453-8FAD-AC725841D1A0}"/>
    <cellStyle name="Currency 5 3 3 6 2 3" xfId="12686" xr:uid="{597E3035-24EF-455D-8AFB-3CC875495D76}"/>
    <cellStyle name="Currency 5 3 3 6 2 4" xfId="21134" xr:uid="{CADE2E1E-408D-42EE-813F-127A8638DD80}"/>
    <cellStyle name="Currency 5 3 3 6 3" xfId="6309" xr:uid="{00000000-0005-0000-0000-0000050D0000}"/>
    <cellStyle name="Currency 5 3 3 6 3 2" xfId="14759" xr:uid="{DB0526DB-5455-4B55-91F2-73CA4C10C884}"/>
    <cellStyle name="Currency 5 3 3 6 3 3" xfId="23206" xr:uid="{FC5F73FA-BF88-4DE6-B893-2F87A7B55437}"/>
    <cellStyle name="Currency 5 3 3 6 4" xfId="10541" xr:uid="{C9F9187C-7AA7-47A2-BD64-E5D29023374D}"/>
    <cellStyle name="Currency 5 3 3 6 5" xfId="18989" xr:uid="{FACAA1BD-6462-4F92-BAC8-02CA1BD671B0}"/>
    <cellStyle name="Currency 5 3 3 7" xfId="2438" xr:uid="{00000000-0005-0000-0000-0000060D0000}"/>
    <cellStyle name="Currency 5 3 3 7 2" xfId="6722" xr:uid="{00000000-0005-0000-0000-0000070D0000}"/>
    <cellStyle name="Currency 5 3 3 7 2 2" xfId="15172" xr:uid="{C805F2A2-A0C1-41E2-B0C0-E9609EE82B40}"/>
    <cellStyle name="Currency 5 3 3 7 2 3" xfId="23619" xr:uid="{7C7E52EF-B31E-485C-A901-3E889E157956}"/>
    <cellStyle name="Currency 5 3 3 7 3" xfId="10954" xr:uid="{ECA593C0-B6A0-422B-A208-44E4C27BD6F2}"/>
    <cellStyle name="Currency 5 3 3 7 4" xfId="19402" xr:uid="{3285F156-6C33-4CE9-8F7E-5D0F1CB97D27}"/>
    <cellStyle name="Currency 5 3 3 8" xfId="2735" xr:uid="{00000000-0005-0000-0000-0000080D0000}"/>
    <cellStyle name="Currency 5 3 3 9" xfId="2816" xr:uid="{00000000-0005-0000-0000-0000090D0000}"/>
    <cellStyle name="Currency 5 3 3 9 2" xfId="7039" xr:uid="{00000000-0005-0000-0000-00000A0D0000}"/>
    <cellStyle name="Currency 5 3 3 9 2 2" xfId="15489" xr:uid="{0F89E2EB-0D80-4A3B-944F-2D38144E0048}"/>
    <cellStyle name="Currency 5 3 3 9 2 3" xfId="23936" xr:uid="{0D61430D-AC1A-4232-8798-EBE921CED4A1}"/>
    <cellStyle name="Currency 5 3 3 9 3" xfId="11271" xr:uid="{E0653D58-0A0C-47C3-93FE-916066DDCB58}"/>
    <cellStyle name="Currency 5 3 3 9 4" xfId="19719" xr:uid="{46B30245-E170-4397-8D9B-6143F8104390}"/>
    <cellStyle name="Currency 5 3 4" xfId="216" xr:uid="{00000000-0005-0000-0000-00000B0D0000}"/>
    <cellStyle name="Currency 5 3 4 10" xfId="8890" xr:uid="{AAFE0FD7-DEFC-4550-9998-1D6D6E945D59}"/>
    <cellStyle name="Currency 5 3 4 11" xfId="17338" xr:uid="{7DC4CF0E-F31C-4436-B22E-0EF6363B123A}"/>
    <cellStyle name="Currency 5 3 4 2" xfId="742" xr:uid="{00000000-0005-0000-0000-00000C0D0000}"/>
    <cellStyle name="Currency 5 3 4 2 2" xfId="2995" xr:uid="{00000000-0005-0000-0000-00000D0D0000}"/>
    <cellStyle name="Currency 5 3 4 2 2 2" xfId="7217" xr:uid="{00000000-0005-0000-0000-00000E0D0000}"/>
    <cellStyle name="Currency 5 3 4 2 2 2 2" xfId="15667" xr:uid="{E9A04817-FB7E-4E03-8FA2-D94720A30EDC}"/>
    <cellStyle name="Currency 5 3 4 2 2 2 3" xfId="24114" xr:uid="{304AD49E-200F-44A2-887A-B89F9F3B891B}"/>
    <cellStyle name="Currency 5 3 4 2 2 3" xfId="11449" xr:uid="{56F5FF1E-0C22-4E27-ABE9-18E0E3DE5F8D}"/>
    <cellStyle name="Currency 5 3 4 2 2 4" xfId="19897" xr:uid="{05239B13-0145-40EA-AED0-0BDABA368FD0}"/>
    <cellStyle name="Currency 5 3 4 2 3" xfId="5072" xr:uid="{00000000-0005-0000-0000-00000F0D0000}"/>
    <cellStyle name="Currency 5 3 4 2 3 2" xfId="13522" xr:uid="{A67ED6D3-272C-477F-8D1E-75773D08D671}"/>
    <cellStyle name="Currency 5 3 4 2 3 3" xfId="21969" xr:uid="{DCC635F0-E4B3-4B93-B2AD-2C872E326403}"/>
    <cellStyle name="Currency 5 3 4 2 4" xfId="9304" xr:uid="{CED63C11-6D22-41C4-BFCD-91FDCDBC2313}"/>
    <cellStyle name="Currency 5 3 4 2 5" xfId="17752" xr:uid="{D1EFE806-6EF1-4381-BFF3-15D177AC8541}"/>
    <cellStyle name="Currency 5 3 4 3" xfId="1177" xr:uid="{00000000-0005-0000-0000-0000100D0000}"/>
    <cellStyle name="Currency 5 3 4 3 2" xfId="3408" xr:uid="{00000000-0005-0000-0000-0000110D0000}"/>
    <cellStyle name="Currency 5 3 4 3 2 2" xfId="7630" xr:uid="{00000000-0005-0000-0000-0000120D0000}"/>
    <cellStyle name="Currency 5 3 4 3 2 2 2" xfId="16080" xr:uid="{374A2449-B656-4360-98D4-64666664115F}"/>
    <cellStyle name="Currency 5 3 4 3 2 2 3" xfId="24527" xr:uid="{684E2B8A-0B6A-48F3-906D-B55965BA5290}"/>
    <cellStyle name="Currency 5 3 4 3 2 3" xfId="11862" xr:uid="{2E94336E-0F76-4A5F-905F-0A183534260E}"/>
    <cellStyle name="Currency 5 3 4 3 2 4" xfId="20310" xr:uid="{F1457E4E-9DC6-4E25-A22A-0BBA4A7957BA}"/>
    <cellStyle name="Currency 5 3 4 3 3" xfId="5485" xr:uid="{00000000-0005-0000-0000-0000130D0000}"/>
    <cellStyle name="Currency 5 3 4 3 3 2" xfId="13935" xr:uid="{5C9C4E9C-57D5-4BCC-9A83-473C5047A6EA}"/>
    <cellStyle name="Currency 5 3 4 3 3 3" xfId="22382" xr:uid="{F8230FEE-84C0-4D6B-8E0E-A1353A1858E4}"/>
    <cellStyle name="Currency 5 3 4 3 4" xfId="9717" xr:uid="{35FF18FB-9C4D-4C5A-B938-49F2E9B601B3}"/>
    <cellStyle name="Currency 5 3 4 3 5" xfId="18165" xr:uid="{A71CC8B6-8524-4623-B245-44714D5930DE}"/>
    <cellStyle name="Currency 5 3 4 4" xfId="1591" xr:uid="{00000000-0005-0000-0000-0000140D0000}"/>
    <cellStyle name="Currency 5 3 4 4 2" xfId="3821" xr:uid="{00000000-0005-0000-0000-0000150D0000}"/>
    <cellStyle name="Currency 5 3 4 4 2 2" xfId="8043" xr:uid="{00000000-0005-0000-0000-0000160D0000}"/>
    <cellStyle name="Currency 5 3 4 4 2 2 2" xfId="16493" xr:uid="{61CFDE03-98A0-4148-973E-87EECBFC55E9}"/>
    <cellStyle name="Currency 5 3 4 4 2 2 3" xfId="24940" xr:uid="{10A1159F-676A-428D-82B7-760307880082}"/>
    <cellStyle name="Currency 5 3 4 4 2 3" xfId="12275" xr:uid="{902A34A9-7A6E-47F9-9DCF-A5A8E75A6C89}"/>
    <cellStyle name="Currency 5 3 4 4 2 4" xfId="20723" xr:uid="{CB4165B7-1841-4E25-83F6-DDE2D2EB6DBE}"/>
    <cellStyle name="Currency 5 3 4 4 3" xfId="5898" xr:uid="{00000000-0005-0000-0000-0000170D0000}"/>
    <cellStyle name="Currency 5 3 4 4 3 2" xfId="14348" xr:uid="{04BD969F-1CB0-4568-A497-13E6CD31147C}"/>
    <cellStyle name="Currency 5 3 4 4 3 3" xfId="22795" xr:uid="{9B8C701E-089A-42A1-BD26-C43A63F2D7DD}"/>
    <cellStyle name="Currency 5 3 4 4 4" xfId="10130" xr:uid="{D722419B-3BBD-4250-9BE7-AE8137F71D24}"/>
    <cellStyle name="Currency 5 3 4 4 5" xfId="18578" xr:uid="{6708DAD8-3F01-405A-A613-D1FB6E117718}"/>
    <cellStyle name="Currency 5 3 4 5" xfId="2005" xr:uid="{00000000-0005-0000-0000-0000180D0000}"/>
    <cellStyle name="Currency 5 3 4 5 2" xfId="4234" xr:uid="{00000000-0005-0000-0000-0000190D0000}"/>
    <cellStyle name="Currency 5 3 4 5 2 2" xfId="8456" xr:uid="{00000000-0005-0000-0000-00001A0D0000}"/>
    <cellStyle name="Currency 5 3 4 5 2 2 2" xfId="16906" xr:uid="{3800FA39-9F52-47BF-ABF4-65FA23DF7416}"/>
    <cellStyle name="Currency 5 3 4 5 2 2 3" xfId="25353" xr:uid="{09B9538B-1B1C-44AA-9987-D507A2B1FE42}"/>
    <cellStyle name="Currency 5 3 4 5 2 3" xfId="12688" xr:uid="{33E82E69-AE85-4214-B276-B426D9284ADD}"/>
    <cellStyle name="Currency 5 3 4 5 2 4" xfId="21136" xr:uid="{3D4A977B-6169-4919-85A4-D0B089EFB9A6}"/>
    <cellStyle name="Currency 5 3 4 5 3" xfId="6311" xr:uid="{00000000-0005-0000-0000-00001B0D0000}"/>
    <cellStyle name="Currency 5 3 4 5 3 2" xfId="14761" xr:uid="{09C16B80-BA9C-4118-B9C5-711F74F7E491}"/>
    <cellStyle name="Currency 5 3 4 5 3 3" xfId="23208" xr:uid="{690FA0F9-2E68-4C98-8986-FB9C48A349CD}"/>
    <cellStyle name="Currency 5 3 4 5 4" xfId="10543" xr:uid="{5F2226A4-A4E0-4AD1-A9A2-2930E8F9CB8C}"/>
    <cellStyle name="Currency 5 3 4 5 5" xfId="18991" xr:uid="{74ADEE74-CF88-4616-AC83-83C09BBF189A}"/>
    <cellStyle name="Currency 5 3 4 6" xfId="2440" xr:uid="{00000000-0005-0000-0000-00001C0D0000}"/>
    <cellStyle name="Currency 5 3 4 6 2" xfId="6724" xr:uid="{00000000-0005-0000-0000-00001D0D0000}"/>
    <cellStyle name="Currency 5 3 4 6 2 2" xfId="15174" xr:uid="{8A70143D-4C0B-4A61-BB60-DBD9ECAB7DEC}"/>
    <cellStyle name="Currency 5 3 4 6 2 3" xfId="23621" xr:uid="{3EE1635D-D7D9-4D48-BA7A-01E95DAAB519}"/>
    <cellStyle name="Currency 5 3 4 6 3" xfId="10956" xr:uid="{DBC31C47-411D-439C-B51F-F8AB7DFF21C6}"/>
    <cellStyle name="Currency 5 3 4 6 4" xfId="19404" xr:uid="{9A1CE2E1-EB57-4C7C-8D18-A82A33C829B5}"/>
    <cellStyle name="Currency 5 3 4 7" xfId="2737" xr:uid="{00000000-0005-0000-0000-00001E0D0000}"/>
    <cellStyle name="Currency 5 3 4 8" xfId="2818" xr:uid="{00000000-0005-0000-0000-00001F0D0000}"/>
    <cellStyle name="Currency 5 3 4 8 2" xfId="7041" xr:uid="{00000000-0005-0000-0000-0000200D0000}"/>
    <cellStyle name="Currency 5 3 4 8 2 2" xfId="15491" xr:uid="{3E20FD18-A155-4FB4-9AC6-83529F295FE2}"/>
    <cellStyle name="Currency 5 3 4 8 2 3" xfId="23938" xr:uid="{7FA90145-20ED-4E02-8F52-3468D1AA9820}"/>
    <cellStyle name="Currency 5 3 4 8 3" xfId="11273" xr:uid="{709328D7-DB01-4474-A3BD-2A9EBD303A0B}"/>
    <cellStyle name="Currency 5 3 4 8 4" xfId="19721" xr:uid="{3BFA1E06-6AF2-40D8-888E-1C5C9580686B}"/>
    <cellStyle name="Currency 5 3 4 9" xfId="4658" xr:uid="{00000000-0005-0000-0000-0000210D0000}"/>
    <cellStyle name="Currency 5 3 4 9 2" xfId="13108" xr:uid="{56E917A0-62F9-4288-B71E-C34BB0225F60}"/>
    <cellStyle name="Currency 5 3 4 9 3" xfId="21555" xr:uid="{28C20BC1-6703-48CD-AFFA-B81A6043BA11}"/>
    <cellStyle name="Currency 5 3 5" xfId="217" xr:uid="{00000000-0005-0000-0000-0000220D0000}"/>
    <cellStyle name="Currency 5 3 5 10" xfId="8891" xr:uid="{8A35B61F-A116-4623-A0CC-96E1483AE93A}"/>
    <cellStyle name="Currency 5 3 5 11" xfId="17339" xr:uid="{114323A9-CED1-4316-9163-AFB6C21EF46F}"/>
    <cellStyle name="Currency 5 3 5 2" xfId="743" xr:uid="{00000000-0005-0000-0000-0000230D0000}"/>
    <cellStyle name="Currency 5 3 5 2 2" xfId="2996" xr:uid="{00000000-0005-0000-0000-0000240D0000}"/>
    <cellStyle name="Currency 5 3 5 2 2 2" xfId="7218" xr:uid="{00000000-0005-0000-0000-0000250D0000}"/>
    <cellStyle name="Currency 5 3 5 2 2 2 2" xfId="15668" xr:uid="{89084937-3E70-496C-9C78-70E70A0DF0E1}"/>
    <cellStyle name="Currency 5 3 5 2 2 2 3" xfId="24115" xr:uid="{E0674F8F-3560-487B-A2E0-5B06E92567F1}"/>
    <cellStyle name="Currency 5 3 5 2 2 3" xfId="11450" xr:uid="{A6420E4A-5908-452D-AF2B-1E37690F5024}"/>
    <cellStyle name="Currency 5 3 5 2 2 4" xfId="19898" xr:uid="{A9B2A3DB-AAC6-440A-909A-4206A4A86A14}"/>
    <cellStyle name="Currency 5 3 5 2 3" xfId="5073" xr:uid="{00000000-0005-0000-0000-0000260D0000}"/>
    <cellStyle name="Currency 5 3 5 2 3 2" xfId="13523" xr:uid="{69AD25C1-14A4-46C2-822B-BE8DE4E0B612}"/>
    <cellStyle name="Currency 5 3 5 2 3 3" xfId="21970" xr:uid="{367FFD1C-B5C5-47EB-B29C-3B0CEB7BDCFC}"/>
    <cellStyle name="Currency 5 3 5 2 4" xfId="9305" xr:uid="{1BCE667C-9573-473F-9B51-CAF7276B8F1E}"/>
    <cellStyle name="Currency 5 3 5 2 5" xfId="17753" xr:uid="{D4FBA695-56BD-4585-8C0E-C60D20F05E6C}"/>
    <cellStyle name="Currency 5 3 5 3" xfId="1178" xr:uid="{00000000-0005-0000-0000-0000270D0000}"/>
    <cellStyle name="Currency 5 3 5 3 2" xfId="3409" xr:uid="{00000000-0005-0000-0000-0000280D0000}"/>
    <cellStyle name="Currency 5 3 5 3 2 2" xfId="7631" xr:uid="{00000000-0005-0000-0000-0000290D0000}"/>
    <cellStyle name="Currency 5 3 5 3 2 2 2" xfId="16081" xr:uid="{F09D9525-4129-48F1-B873-E0780F14D827}"/>
    <cellStyle name="Currency 5 3 5 3 2 2 3" xfId="24528" xr:uid="{6A41DF4F-19B8-461F-8082-9B678C03F345}"/>
    <cellStyle name="Currency 5 3 5 3 2 3" xfId="11863" xr:uid="{5BAFFDCC-8DCB-4735-8EC6-3A1EA2AAC54B}"/>
    <cellStyle name="Currency 5 3 5 3 2 4" xfId="20311" xr:uid="{AD8E4A45-CC62-436F-AC2C-F00DB1DFB805}"/>
    <cellStyle name="Currency 5 3 5 3 3" xfId="5486" xr:uid="{00000000-0005-0000-0000-00002A0D0000}"/>
    <cellStyle name="Currency 5 3 5 3 3 2" xfId="13936" xr:uid="{95EC7E1C-A700-4C4F-92F0-FE47E5B2CA37}"/>
    <cellStyle name="Currency 5 3 5 3 3 3" xfId="22383" xr:uid="{76BC51CD-31AA-4DDD-933E-669CD78A10A9}"/>
    <cellStyle name="Currency 5 3 5 3 4" xfId="9718" xr:uid="{4CF48F81-ACDE-41B0-95AE-8AC5E427957B}"/>
    <cellStyle name="Currency 5 3 5 3 5" xfId="18166" xr:uid="{ABC2272F-23CD-4851-BCE5-B625E6499234}"/>
    <cellStyle name="Currency 5 3 5 4" xfId="1592" xr:uid="{00000000-0005-0000-0000-00002B0D0000}"/>
    <cellStyle name="Currency 5 3 5 4 2" xfId="3822" xr:uid="{00000000-0005-0000-0000-00002C0D0000}"/>
    <cellStyle name="Currency 5 3 5 4 2 2" xfId="8044" xr:uid="{00000000-0005-0000-0000-00002D0D0000}"/>
    <cellStyle name="Currency 5 3 5 4 2 2 2" xfId="16494" xr:uid="{B4E37160-A1E9-47BC-BF91-AC2E1561305B}"/>
    <cellStyle name="Currency 5 3 5 4 2 2 3" xfId="24941" xr:uid="{6F64E0E4-3366-49DC-A231-E8C7F8EDE2F6}"/>
    <cellStyle name="Currency 5 3 5 4 2 3" xfId="12276" xr:uid="{E375A679-1499-4155-B456-43E202F144D0}"/>
    <cellStyle name="Currency 5 3 5 4 2 4" xfId="20724" xr:uid="{685022CB-5A39-4BBF-9D4C-CC75809D256C}"/>
    <cellStyle name="Currency 5 3 5 4 3" xfId="5899" xr:uid="{00000000-0005-0000-0000-00002E0D0000}"/>
    <cellStyle name="Currency 5 3 5 4 3 2" xfId="14349" xr:uid="{DA08378B-A4A2-4E53-A63E-38B166A10C5E}"/>
    <cellStyle name="Currency 5 3 5 4 3 3" xfId="22796" xr:uid="{27FD00A6-4336-4201-BF00-64063F915F48}"/>
    <cellStyle name="Currency 5 3 5 4 4" xfId="10131" xr:uid="{98844E3A-C795-40FF-8342-155FFFAD3FB2}"/>
    <cellStyle name="Currency 5 3 5 4 5" xfId="18579" xr:uid="{0AF16894-96C8-48A7-8174-23DF703AC0C7}"/>
    <cellStyle name="Currency 5 3 5 5" xfId="2006" xr:uid="{00000000-0005-0000-0000-00002F0D0000}"/>
    <cellStyle name="Currency 5 3 5 5 2" xfId="4235" xr:uid="{00000000-0005-0000-0000-0000300D0000}"/>
    <cellStyle name="Currency 5 3 5 5 2 2" xfId="8457" xr:uid="{00000000-0005-0000-0000-0000310D0000}"/>
    <cellStyle name="Currency 5 3 5 5 2 2 2" xfId="16907" xr:uid="{F575E75F-8A31-4B00-A938-BDACE634B803}"/>
    <cellStyle name="Currency 5 3 5 5 2 2 3" xfId="25354" xr:uid="{5555512A-345C-4924-9C96-52DDF9793618}"/>
    <cellStyle name="Currency 5 3 5 5 2 3" xfId="12689" xr:uid="{D812AF6B-CD36-48AA-885B-5920A1A69AD3}"/>
    <cellStyle name="Currency 5 3 5 5 2 4" xfId="21137" xr:uid="{B5C54E0E-B0B2-4716-8ADD-3A190D37CA8B}"/>
    <cellStyle name="Currency 5 3 5 5 3" xfId="6312" xr:uid="{00000000-0005-0000-0000-0000320D0000}"/>
    <cellStyle name="Currency 5 3 5 5 3 2" xfId="14762" xr:uid="{7DC3734E-AF8C-4195-A6AF-479F01D19F37}"/>
    <cellStyle name="Currency 5 3 5 5 3 3" xfId="23209" xr:uid="{15ABD4B8-5145-4C6E-974C-957DF6EEED77}"/>
    <cellStyle name="Currency 5 3 5 5 4" xfId="10544" xr:uid="{AF548DC2-4CB0-4A9E-A752-AFD6ED36D570}"/>
    <cellStyle name="Currency 5 3 5 5 5" xfId="18992" xr:uid="{5D76895D-F766-447A-A043-012A2498B152}"/>
    <cellStyle name="Currency 5 3 5 6" xfId="2441" xr:uid="{00000000-0005-0000-0000-0000330D0000}"/>
    <cellStyle name="Currency 5 3 5 6 2" xfId="6725" xr:uid="{00000000-0005-0000-0000-0000340D0000}"/>
    <cellStyle name="Currency 5 3 5 6 2 2" xfId="15175" xr:uid="{787A7A10-F4D2-4D67-9A13-FBF65EBE83D4}"/>
    <cellStyle name="Currency 5 3 5 6 2 3" xfId="23622" xr:uid="{36B2F5C6-2F90-4F97-9CDF-0BDD34FE6ABD}"/>
    <cellStyle name="Currency 5 3 5 6 3" xfId="10957" xr:uid="{601D6470-622E-40A4-8AA6-59EC774B04E0}"/>
    <cellStyle name="Currency 5 3 5 6 4" xfId="19405" xr:uid="{EA1181E7-DCEA-46D4-A9D9-3BE1F96C4C74}"/>
    <cellStyle name="Currency 5 3 5 7" xfId="2738" xr:uid="{00000000-0005-0000-0000-0000350D0000}"/>
    <cellStyle name="Currency 5 3 5 8" xfId="2819" xr:uid="{00000000-0005-0000-0000-0000360D0000}"/>
    <cellStyle name="Currency 5 3 5 8 2" xfId="7042" xr:uid="{00000000-0005-0000-0000-0000370D0000}"/>
    <cellStyle name="Currency 5 3 5 8 2 2" xfId="15492" xr:uid="{D71AF512-0C54-42D9-9032-75F24740E945}"/>
    <cellStyle name="Currency 5 3 5 8 2 3" xfId="23939" xr:uid="{0213BDC4-4565-4D68-BFCE-B3D3D996FB2D}"/>
    <cellStyle name="Currency 5 3 5 8 3" xfId="11274" xr:uid="{46EC7656-E3C8-4878-9BDE-2EC9602A95F3}"/>
    <cellStyle name="Currency 5 3 5 8 4" xfId="19722" xr:uid="{E236FBD2-03AF-4879-84DB-0FB6D4A87495}"/>
    <cellStyle name="Currency 5 3 5 9" xfId="4659" xr:uid="{00000000-0005-0000-0000-0000380D0000}"/>
    <cellStyle name="Currency 5 3 5 9 2" xfId="13109" xr:uid="{53FD7298-D90B-4A42-9E07-1E435EA50DCE}"/>
    <cellStyle name="Currency 5 3 5 9 3" xfId="21556" xr:uid="{0594A214-9B73-4E55-823B-17D535B50C8F}"/>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10 2" xfId="13110" xr:uid="{0C7895CC-F78B-4CAD-84B4-3E4E023BF935}"/>
    <cellStyle name="Currency 5 5 10 3" xfId="21557" xr:uid="{8D6E0365-D215-4BED-A9AF-DC3AB0CC19FF}"/>
    <cellStyle name="Currency 5 5 11" xfId="8892" xr:uid="{C0D46F96-DF4A-40FD-B16C-5F11D0265C83}"/>
    <cellStyle name="Currency 5 5 12" xfId="17340" xr:uid="{38366354-9AA9-4CF1-B781-287FAD9D8E30}"/>
    <cellStyle name="Currency 5 5 2" xfId="220" xr:uid="{00000000-0005-0000-0000-00003D0D0000}"/>
    <cellStyle name="Currency 5 5 2 10" xfId="8893" xr:uid="{8C971211-7EC3-42D9-8FAD-98A3A00661D7}"/>
    <cellStyle name="Currency 5 5 2 11" xfId="17341" xr:uid="{384BB0F4-B949-4385-A2C4-5AE81496749A}"/>
    <cellStyle name="Currency 5 5 2 2" xfId="746" xr:uid="{00000000-0005-0000-0000-00003E0D0000}"/>
    <cellStyle name="Currency 5 5 2 2 2" xfId="2998" xr:uid="{00000000-0005-0000-0000-00003F0D0000}"/>
    <cellStyle name="Currency 5 5 2 2 2 2" xfId="7220" xr:uid="{00000000-0005-0000-0000-0000400D0000}"/>
    <cellStyle name="Currency 5 5 2 2 2 2 2" xfId="15670" xr:uid="{68992D4D-E414-414B-A822-1DC330DF929A}"/>
    <cellStyle name="Currency 5 5 2 2 2 2 3" xfId="24117" xr:uid="{04FF3C4B-623E-43B4-809F-E70B66841E9A}"/>
    <cellStyle name="Currency 5 5 2 2 2 3" xfId="11452" xr:uid="{F5E10604-266D-40A4-B44F-16E1FCDFC87A}"/>
    <cellStyle name="Currency 5 5 2 2 2 4" xfId="19900" xr:uid="{FA875A2B-F118-4D5A-87E1-010EB22331A2}"/>
    <cellStyle name="Currency 5 5 2 2 3" xfId="5075" xr:uid="{00000000-0005-0000-0000-0000410D0000}"/>
    <cellStyle name="Currency 5 5 2 2 3 2" xfId="13525" xr:uid="{5A08C39F-03F1-4538-B2C1-20E6EED45F36}"/>
    <cellStyle name="Currency 5 5 2 2 3 3" xfId="21972" xr:uid="{E3DFB505-BE30-4027-84CC-E638C20DA256}"/>
    <cellStyle name="Currency 5 5 2 2 4" xfId="9307" xr:uid="{53D663B0-2AAA-4AD9-BEB1-CB7C7159210B}"/>
    <cellStyle name="Currency 5 5 2 2 5" xfId="17755" xr:uid="{7A966453-9726-43CD-9C6E-B97BC169E90C}"/>
    <cellStyle name="Currency 5 5 2 3" xfId="1180" xr:uid="{00000000-0005-0000-0000-0000420D0000}"/>
    <cellStyle name="Currency 5 5 2 3 2" xfId="3411" xr:uid="{00000000-0005-0000-0000-0000430D0000}"/>
    <cellStyle name="Currency 5 5 2 3 2 2" xfId="7633" xr:uid="{00000000-0005-0000-0000-0000440D0000}"/>
    <cellStyle name="Currency 5 5 2 3 2 2 2" xfId="16083" xr:uid="{6D24EDEF-394A-4867-BF9F-308FAC6CD6F1}"/>
    <cellStyle name="Currency 5 5 2 3 2 2 3" xfId="24530" xr:uid="{8288B292-884D-471D-889D-C30B2A3B82F6}"/>
    <cellStyle name="Currency 5 5 2 3 2 3" xfId="11865" xr:uid="{70A9A3FB-C687-4689-9365-E09071D1709D}"/>
    <cellStyle name="Currency 5 5 2 3 2 4" xfId="20313" xr:uid="{D61A7414-5A90-4FE5-9DFD-E0694B6D1AE4}"/>
    <cellStyle name="Currency 5 5 2 3 3" xfId="5488" xr:uid="{00000000-0005-0000-0000-0000450D0000}"/>
    <cellStyle name="Currency 5 5 2 3 3 2" xfId="13938" xr:uid="{64FDFB87-A73B-4A7C-84C7-08F1675C62D6}"/>
    <cellStyle name="Currency 5 5 2 3 3 3" xfId="22385" xr:uid="{6264468B-81CB-4E5E-A9D9-1F5BC65365B9}"/>
    <cellStyle name="Currency 5 5 2 3 4" xfId="9720" xr:uid="{8E2FA208-0EAE-42E1-88A0-4CE7D8BA4887}"/>
    <cellStyle name="Currency 5 5 2 3 5" xfId="18168" xr:uid="{2B3F5396-4DBF-4EEB-83C8-EE046F755431}"/>
    <cellStyle name="Currency 5 5 2 4" xfId="1594" xr:uid="{00000000-0005-0000-0000-0000460D0000}"/>
    <cellStyle name="Currency 5 5 2 4 2" xfId="3824" xr:uid="{00000000-0005-0000-0000-0000470D0000}"/>
    <cellStyle name="Currency 5 5 2 4 2 2" xfId="8046" xr:uid="{00000000-0005-0000-0000-0000480D0000}"/>
    <cellStyle name="Currency 5 5 2 4 2 2 2" xfId="16496" xr:uid="{35CC8CF8-7CA7-4854-93DB-6AA7DAA7D358}"/>
    <cellStyle name="Currency 5 5 2 4 2 2 3" xfId="24943" xr:uid="{4CF95800-9E0C-456B-9998-4E570EFCB496}"/>
    <cellStyle name="Currency 5 5 2 4 2 3" xfId="12278" xr:uid="{2A3C8D78-E951-48FF-BF89-A8C3F1CE1D3B}"/>
    <cellStyle name="Currency 5 5 2 4 2 4" xfId="20726" xr:uid="{740CF99A-775D-4787-B53C-BCDFCA659C16}"/>
    <cellStyle name="Currency 5 5 2 4 3" xfId="5901" xr:uid="{00000000-0005-0000-0000-0000490D0000}"/>
    <cellStyle name="Currency 5 5 2 4 3 2" xfId="14351" xr:uid="{EB1F12E3-BBD6-4079-B7A3-EB08F893CA5A}"/>
    <cellStyle name="Currency 5 5 2 4 3 3" xfId="22798" xr:uid="{27EB13F6-55F0-4A2D-9EB8-A671B25A201F}"/>
    <cellStyle name="Currency 5 5 2 4 4" xfId="10133" xr:uid="{150F1EE4-64CC-4F69-8058-683861E3B170}"/>
    <cellStyle name="Currency 5 5 2 4 5" xfId="18581" xr:uid="{F9D3CAFA-78CF-48D7-B759-6862430F258E}"/>
    <cellStyle name="Currency 5 5 2 5" xfId="2008" xr:uid="{00000000-0005-0000-0000-00004A0D0000}"/>
    <cellStyle name="Currency 5 5 2 5 2" xfId="4237" xr:uid="{00000000-0005-0000-0000-00004B0D0000}"/>
    <cellStyle name="Currency 5 5 2 5 2 2" xfId="8459" xr:uid="{00000000-0005-0000-0000-00004C0D0000}"/>
    <cellStyle name="Currency 5 5 2 5 2 2 2" xfId="16909" xr:uid="{9D719FDB-C363-4933-9C9E-F5D82E2D863F}"/>
    <cellStyle name="Currency 5 5 2 5 2 2 3" xfId="25356" xr:uid="{9F4C8F03-2A1A-4BDA-A0FB-854E1303975B}"/>
    <cellStyle name="Currency 5 5 2 5 2 3" xfId="12691" xr:uid="{1D5086FA-3C38-4DD7-88CC-0206D603C61C}"/>
    <cellStyle name="Currency 5 5 2 5 2 4" xfId="21139" xr:uid="{E8D31B00-FC45-4727-A739-B2111CB3E889}"/>
    <cellStyle name="Currency 5 5 2 5 3" xfId="6314" xr:uid="{00000000-0005-0000-0000-00004D0D0000}"/>
    <cellStyle name="Currency 5 5 2 5 3 2" xfId="14764" xr:uid="{F9F3FB4D-C803-4887-8FB3-11949F4EA67B}"/>
    <cellStyle name="Currency 5 5 2 5 3 3" xfId="23211" xr:uid="{6B4B7A88-FCFE-4EA3-9F5D-2E2EB0F29317}"/>
    <cellStyle name="Currency 5 5 2 5 4" xfId="10546" xr:uid="{ACE55B7A-143B-438C-9DC8-FB841437068A}"/>
    <cellStyle name="Currency 5 5 2 5 5" xfId="18994" xr:uid="{A4F56A23-4543-4F78-B0BD-68F51FD6E9D8}"/>
    <cellStyle name="Currency 5 5 2 6" xfId="2443" xr:uid="{00000000-0005-0000-0000-00004E0D0000}"/>
    <cellStyle name="Currency 5 5 2 6 2" xfId="6727" xr:uid="{00000000-0005-0000-0000-00004F0D0000}"/>
    <cellStyle name="Currency 5 5 2 6 2 2" xfId="15177" xr:uid="{60227787-28F3-4008-80B2-06884103E6E4}"/>
    <cellStyle name="Currency 5 5 2 6 2 3" xfId="23624" xr:uid="{BD6ECA5B-CE8E-47E6-B6B0-B2F9FB286561}"/>
    <cellStyle name="Currency 5 5 2 6 3" xfId="10959" xr:uid="{F26C539C-79AE-4545-8B65-CDAF8084A936}"/>
    <cellStyle name="Currency 5 5 2 6 4" xfId="19407" xr:uid="{EEC61E28-4C80-445B-ADD5-2B112CFE7FE6}"/>
    <cellStyle name="Currency 5 5 2 7" xfId="2740" xr:uid="{00000000-0005-0000-0000-0000500D0000}"/>
    <cellStyle name="Currency 5 5 2 8" xfId="2821" xr:uid="{00000000-0005-0000-0000-0000510D0000}"/>
    <cellStyle name="Currency 5 5 2 8 2" xfId="7044" xr:uid="{00000000-0005-0000-0000-0000520D0000}"/>
    <cellStyle name="Currency 5 5 2 8 2 2" xfId="15494" xr:uid="{2D0ABE36-C405-4FDB-97F0-D9651159BDB1}"/>
    <cellStyle name="Currency 5 5 2 8 2 3" xfId="23941" xr:uid="{E71EA261-98B7-4CD5-9BA2-1938C700738A}"/>
    <cellStyle name="Currency 5 5 2 8 3" xfId="11276" xr:uid="{DF650045-4EEE-4ECC-BC68-68F381EBD3C4}"/>
    <cellStyle name="Currency 5 5 2 8 4" xfId="19724" xr:uid="{A84A94B3-740E-4839-A8B6-5674EFB2A758}"/>
    <cellStyle name="Currency 5 5 2 9" xfId="4661" xr:uid="{00000000-0005-0000-0000-0000530D0000}"/>
    <cellStyle name="Currency 5 5 2 9 2" xfId="13111" xr:uid="{471EC627-5BAF-4E2D-AA01-2F2B25312765}"/>
    <cellStyle name="Currency 5 5 2 9 3" xfId="21558" xr:uid="{767E6CC0-6BCE-4ABD-A527-811E9FD7FE8B}"/>
    <cellStyle name="Currency 5 5 3" xfId="745" xr:uid="{00000000-0005-0000-0000-0000540D0000}"/>
    <cellStyle name="Currency 5 5 3 2" xfId="2997" xr:uid="{00000000-0005-0000-0000-0000550D0000}"/>
    <cellStyle name="Currency 5 5 3 2 2" xfId="7219" xr:uid="{00000000-0005-0000-0000-0000560D0000}"/>
    <cellStyle name="Currency 5 5 3 2 2 2" xfId="15669" xr:uid="{10CD2E99-3E75-469C-8D8F-5D90F3B687DE}"/>
    <cellStyle name="Currency 5 5 3 2 2 3" xfId="24116" xr:uid="{B468B1D1-119D-480C-8D25-CACAE8116FA1}"/>
    <cellStyle name="Currency 5 5 3 2 3" xfId="11451" xr:uid="{7FB3C776-1944-4BC4-84D1-3F18981DE792}"/>
    <cellStyle name="Currency 5 5 3 2 4" xfId="19899" xr:uid="{0EF3F776-4A59-4BFD-934F-093B909CFE4E}"/>
    <cellStyle name="Currency 5 5 3 3" xfId="5074" xr:uid="{00000000-0005-0000-0000-0000570D0000}"/>
    <cellStyle name="Currency 5 5 3 3 2" xfId="13524" xr:uid="{F640D6A1-9006-4678-8175-14ED7F101236}"/>
    <cellStyle name="Currency 5 5 3 3 3" xfId="21971" xr:uid="{1712C232-A2E6-4CC6-BE69-B77C42A96AFE}"/>
    <cellStyle name="Currency 5 5 3 4" xfId="9306" xr:uid="{A822E5C5-1C5D-4B78-9226-26FBAB09E83A}"/>
    <cellStyle name="Currency 5 5 3 5" xfId="17754" xr:uid="{95DA5C2A-0E36-4E56-B8A1-80F6AAC3CBA1}"/>
    <cellStyle name="Currency 5 5 4" xfId="1179" xr:uid="{00000000-0005-0000-0000-0000580D0000}"/>
    <cellStyle name="Currency 5 5 4 2" xfId="3410" xr:uid="{00000000-0005-0000-0000-0000590D0000}"/>
    <cellStyle name="Currency 5 5 4 2 2" xfId="7632" xr:uid="{00000000-0005-0000-0000-00005A0D0000}"/>
    <cellStyle name="Currency 5 5 4 2 2 2" xfId="16082" xr:uid="{CABCA09B-C5DE-4FC8-B386-02E5F487541E}"/>
    <cellStyle name="Currency 5 5 4 2 2 3" xfId="24529" xr:uid="{5230F982-A8C3-4D61-B88D-F523C116C7EB}"/>
    <cellStyle name="Currency 5 5 4 2 3" xfId="11864" xr:uid="{F5785726-1796-4EB4-A5AA-5CF7A2178042}"/>
    <cellStyle name="Currency 5 5 4 2 4" xfId="20312" xr:uid="{68B7A08D-2974-4FA1-BECB-C6C6D9CCD1FF}"/>
    <cellStyle name="Currency 5 5 4 3" xfId="5487" xr:uid="{00000000-0005-0000-0000-00005B0D0000}"/>
    <cellStyle name="Currency 5 5 4 3 2" xfId="13937" xr:uid="{26852F18-94C6-4836-986E-B1C5AA03F8F7}"/>
    <cellStyle name="Currency 5 5 4 3 3" xfId="22384" xr:uid="{7B3942F9-BF73-40CA-A6BB-16C3DADC8058}"/>
    <cellStyle name="Currency 5 5 4 4" xfId="9719" xr:uid="{F7A13E87-CA7A-4721-8E7F-3FDBD0201538}"/>
    <cellStyle name="Currency 5 5 4 5" xfId="18167" xr:uid="{BF6DA4FC-65AA-4836-8E58-B95D887CDEA0}"/>
    <cellStyle name="Currency 5 5 5" xfId="1593" xr:uid="{00000000-0005-0000-0000-00005C0D0000}"/>
    <cellStyle name="Currency 5 5 5 2" xfId="3823" xr:uid="{00000000-0005-0000-0000-00005D0D0000}"/>
    <cellStyle name="Currency 5 5 5 2 2" xfId="8045" xr:uid="{00000000-0005-0000-0000-00005E0D0000}"/>
    <cellStyle name="Currency 5 5 5 2 2 2" xfId="16495" xr:uid="{ABD7127A-8704-4434-89A7-5350E33812C2}"/>
    <cellStyle name="Currency 5 5 5 2 2 3" xfId="24942" xr:uid="{164763D4-222C-418F-B910-B9831E5538CC}"/>
    <cellStyle name="Currency 5 5 5 2 3" xfId="12277" xr:uid="{7AFBA5C8-7033-4EB0-BAD8-338E8444FE26}"/>
    <cellStyle name="Currency 5 5 5 2 4" xfId="20725" xr:uid="{B23E8ADA-093D-4994-BA64-FDE447B6A71C}"/>
    <cellStyle name="Currency 5 5 5 3" xfId="5900" xr:uid="{00000000-0005-0000-0000-00005F0D0000}"/>
    <cellStyle name="Currency 5 5 5 3 2" xfId="14350" xr:uid="{E25192F0-A124-402C-B88C-4F6A952797A7}"/>
    <cellStyle name="Currency 5 5 5 3 3" xfId="22797" xr:uid="{21D380AB-D475-466C-ADFA-8833F81AE264}"/>
    <cellStyle name="Currency 5 5 5 4" xfId="10132" xr:uid="{623FB29A-AC61-41DF-988C-F353E34C1CA3}"/>
    <cellStyle name="Currency 5 5 5 5" xfId="18580" xr:uid="{F9799058-60F8-4C61-ADF4-2ED29893ACCF}"/>
    <cellStyle name="Currency 5 5 6" xfId="2007" xr:uid="{00000000-0005-0000-0000-0000600D0000}"/>
    <cellStyle name="Currency 5 5 6 2" xfId="4236" xr:uid="{00000000-0005-0000-0000-0000610D0000}"/>
    <cellStyle name="Currency 5 5 6 2 2" xfId="8458" xr:uid="{00000000-0005-0000-0000-0000620D0000}"/>
    <cellStyle name="Currency 5 5 6 2 2 2" xfId="16908" xr:uid="{441F4D63-3163-4232-A21A-FB7327D2DF8D}"/>
    <cellStyle name="Currency 5 5 6 2 2 3" xfId="25355" xr:uid="{AC95DCAC-AFFE-418C-A6E2-0B1BC7A2D71C}"/>
    <cellStyle name="Currency 5 5 6 2 3" xfId="12690" xr:uid="{6764FD69-8A7E-4068-A6E2-2BD96F843F62}"/>
    <cellStyle name="Currency 5 5 6 2 4" xfId="21138" xr:uid="{D6D8B6F1-8E92-4044-8BB2-7CCB3B5FF358}"/>
    <cellStyle name="Currency 5 5 6 3" xfId="6313" xr:uid="{00000000-0005-0000-0000-0000630D0000}"/>
    <cellStyle name="Currency 5 5 6 3 2" xfId="14763" xr:uid="{71952341-D12E-483F-81E3-8964DA12D4B6}"/>
    <cellStyle name="Currency 5 5 6 3 3" xfId="23210" xr:uid="{88516259-87F7-46AD-BA2F-ED6132AA08CB}"/>
    <cellStyle name="Currency 5 5 6 4" xfId="10545" xr:uid="{71B2D4ED-8BDA-4681-A6FE-DFBE315B8772}"/>
    <cellStyle name="Currency 5 5 6 5" xfId="18993" xr:uid="{1D73B0FF-63ED-47FB-88D7-F7C8FB9F5430}"/>
    <cellStyle name="Currency 5 5 7" xfId="2442" xr:uid="{00000000-0005-0000-0000-0000640D0000}"/>
    <cellStyle name="Currency 5 5 7 2" xfId="6726" xr:uid="{00000000-0005-0000-0000-0000650D0000}"/>
    <cellStyle name="Currency 5 5 7 2 2" xfId="15176" xr:uid="{A75A823E-8D79-405D-AD6C-984972B1FB37}"/>
    <cellStyle name="Currency 5 5 7 2 3" xfId="23623" xr:uid="{46232646-AEA2-4DCB-B5C6-C522CC93FE9D}"/>
    <cellStyle name="Currency 5 5 7 3" xfId="10958" xr:uid="{D821AB42-358A-41DE-921B-1E80DD324957}"/>
    <cellStyle name="Currency 5 5 7 4" xfId="19406" xr:uid="{72768F83-F0AD-4794-A6B7-344DD43F2CAE}"/>
    <cellStyle name="Currency 5 5 8" xfId="2739" xr:uid="{00000000-0005-0000-0000-0000660D0000}"/>
    <cellStyle name="Currency 5 5 9" xfId="2820" xr:uid="{00000000-0005-0000-0000-0000670D0000}"/>
    <cellStyle name="Currency 5 5 9 2" xfId="7043" xr:uid="{00000000-0005-0000-0000-0000680D0000}"/>
    <cellStyle name="Currency 5 5 9 2 2" xfId="15493" xr:uid="{185CA9B7-1EEB-460E-8006-F861F20E9B3D}"/>
    <cellStyle name="Currency 5 5 9 2 3" xfId="23940" xr:uid="{3E82BF3F-F532-4222-9706-6315B2B27857}"/>
    <cellStyle name="Currency 5 5 9 3" xfId="11275" xr:uid="{7F60B106-6B4C-436D-9085-699CE90A999B}"/>
    <cellStyle name="Currency 5 5 9 4" xfId="19723" xr:uid="{C359037B-813C-4A2E-B599-3BDED6A03B29}"/>
    <cellStyle name="Currency 5 6" xfId="221" xr:uid="{00000000-0005-0000-0000-0000690D0000}"/>
    <cellStyle name="Currency 5 6 10" xfId="8894" xr:uid="{DA0A6F6D-3189-4B7E-9DC8-BB96480DFE71}"/>
    <cellStyle name="Currency 5 6 11" xfId="17342" xr:uid="{DF9A47BE-8644-49A5-9064-E2C218952E27}"/>
    <cellStyle name="Currency 5 6 2" xfId="747" xr:uid="{00000000-0005-0000-0000-00006A0D0000}"/>
    <cellStyle name="Currency 5 6 2 2" xfId="2999" xr:uid="{00000000-0005-0000-0000-00006B0D0000}"/>
    <cellStyle name="Currency 5 6 2 2 2" xfId="7221" xr:uid="{00000000-0005-0000-0000-00006C0D0000}"/>
    <cellStyle name="Currency 5 6 2 2 2 2" xfId="15671" xr:uid="{2AFEC350-38CD-4A61-AEEC-96B7AEB56C3C}"/>
    <cellStyle name="Currency 5 6 2 2 2 3" xfId="24118" xr:uid="{0384B1B3-4EEF-47E8-8AED-0812C6BBD211}"/>
    <cellStyle name="Currency 5 6 2 2 3" xfId="11453" xr:uid="{DD2DB34E-1D70-4C80-BCA6-DD17EB54E41D}"/>
    <cellStyle name="Currency 5 6 2 2 4" xfId="19901" xr:uid="{269DAA47-719E-4CAB-BF4F-67F5D2AAE0A2}"/>
    <cellStyle name="Currency 5 6 2 3" xfId="5076" xr:uid="{00000000-0005-0000-0000-00006D0D0000}"/>
    <cellStyle name="Currency 5 6 2 3 2" xfId="13526" xr:uid="{DFF6915A-07E0-4100-9AF9-1A776D7F06F5}"/>
    <cellStyle name="Currency 5 6 2 3 3" xfId="21973" xr:uid="{8515C749-AE59-43C7-BB5A-ED29442AB453}"/>
    <cellStyle name="Currency 5 6 2 4" xfId="9308" xr:uid="{A6AC5186-97C6-477B-BB7F-753F13BDB46A}"/>
    <cellStyle name="Currency 5 6 2 5" xfId="17756" xr:uid="{546EAE60-701C-42CC-8C4A-3CFB8A71C0A9}"/>
    <cellStyle name="Currency 5 6 3" xfId="1181" xr:uid="{00000000-0005-0000-0000-00006E0D0000}"/>
    <cellStyle name="Currency 5 6 3 2" xfId="3412" xr:uid="{00000000-0005-0000-0000-00006F0D0000}"/>
    <cellStyle name="Currency 5 6 3 2 2" xfId="7634" xr:uid="{00000000-0005-0000-0000-0000700D0000}"/>
    <cellStyle name="Currency 5 6 3 2 2 2" xfId="16084" xr:uid="{D4732EE5-97E1-4578-B825-279585090BB8}"/>
    <cellStyle name="Currency 5 6 3 2 2 3" xfId="24531" xr:uid="{C3163CB3-4A88-4306-A5D3-9A139B087771}"/>
    <cellStyle name="Currency 5 6 3 2 3" xfId="11866" xr:uid="{2FF3CA3E-D71E-4ACC-9F0F-6BF45B477819}"/>
    <cellStyle name="Currency 5 6 3 2 4" xfId="20314" xr:uid="{E085195A-408F-4685-977D-62B7BEB9B227}"/>
    <cellStyle name="Currency 5 6 3 3" xfId="5489" xr:uid="{00000000-0005-0000-0000-0000710D0000}"/>
    <cellStyle name="Currency 5 6 3 3 2" xfId="13939" xr:uid="{5FC13D05-FC7B-497E-821B-FA3C9A5DA29E}"/>
    <cellStyle name="Currency 5 6 3 3 3" xfId="22386" xr:uid="{DA642C00-CB1E-42BE-859E-5EBEACED9F62}"/>
    <cellStyle name="Currency 5 6 3 4" xfId="9721" xr:uid="{429DF550-6882-405B-B195-011D4000828C}"/>
    <cellStyle name="Currency 5 6 3 5" xfId="18169" xr:uid="{A6DB8B2E-4992-4FAE-96D5-F0EDE4068DE0}"/>
    <cellStyle name="Currency 5 6 4" xfId="1595" xr:uid="{00000000-0005-0000-0000-0000720D0000}"/>
    <cellStyle name="Currency 5 6 4 2" xfId="3825" xr:uid="{00000000-0005-0000-0000-0000730D0000}"/>
    <cellStyle name="Currency 5 6 4 2 2" xfId="8047" xr:uid="{00000000-0005-0000-0000-0000740D0000}"/>
    <cellStyle name="Currency 5 6 4 2 2 2" xfId="16497" xr:uid="{B0BD918E-7134-48ED-96D1-2B769DE0C87D}"/>
    <cellStyle name="Currency 5 6 4 2 2 3" xfId="24944" xr:uid="{8F0B9BBE-CA30-433F-BB2A-B0E184574077}"/>
    <cellStyle name="Currency 5 6 4 2 3" xfId="12279" xr:uid="{91B2FB7B-180A-4A3B-B925-5AD99003079E}"/>
    <cellStyle name="Currency 5 6 4 2 4" xfId="20727" xr:uid="{538B0C3F-87E0-44F2-AACF-B5CFFDA6D87F}"/>
    <cellStyle name="Currency 5 6 4 3" xfId="5902" xr:uid="{00000000-0005-0000-0000-0000750D0000}"/>
    <cellStyle name="Currency 5 6 4 3 2" xfId="14352" xr:uid="{1A6F7262-D59C-4416-B312-D19B49D0F921}"/>
    <cellStyle name="Currency 5 6 4 3 3" xfId="22799" xr:uid="{60BB17F9-E7CF-42B1-A04C-2940AA122090}"/>
    <cellStyle name="Currency 5 6 4 4" xfId="10134" xr:uid="{5E242889-D7FF-40A0-94B0-71918B3E90F6}"/>
    <cellStyle name="Currency 5 6 4 5" xfId="18582" xr:uid="{9C52C047-E63D-4810-BD12-AADF9A69FEAA}"/>
    <cellStyle name="Currency 5 6 5" xfId="2009" xr:uid="{00000000-0005-0000-0000-0000760D0000}"/>
    <cellStyle name="Currency 5 6 5 2" xfId="4238" xr:uid="{00000000-0005-0000-0000-0000770D0000}"/>
    <cellStyle name="Currency 5 6 5 2 2" xfId="8460" xr:uid="{00000000-0005-0000-0000-0000780D0000}"/>
    <cellStyle name="Currency 5 6 5 2 2 2" xfId="16910" xr:uid="{DE74A0E5-97F7-4B25-BB3C-0C41A86E9C54}"/>
    <cellStyle name="Currency 5 6 5 2 2 3" xfId="25357" xr:uid="{08D79219-F141-4A27-8275-3116E6C11C1C}"/>
    <cellStyle name="Currency 5 6 5 2 3" xfId="12692" xr:uid="{E00C9665-78DC-4853-8AF8-C45BDEC160FF}"/>
    <cellStyle name="Currency 5 6 5 2 4" xfId="21140" xr:uid="{5920A355-F1F7-4837-A8E7-30DB95A51800}"/>
    <cellStyle name="Currency 5 6 5 3" xfId="6315" xr:uid="{00000000-0005-0000-0000-0000790D0000}"/>
    <cellStyle name="Currency 5 6 5 3 2" xfId="14765" xr:uid="{8FC4CB77-5959-49F8-A098-8C600271E95A}"/>
    <cellStyle name="Currency 5 6 5 3 3" xfId="23212" xr:uid="{929914D1-DDE7-4FC5-8801-FDF6046A92B8}"/>
    <cellStyle name="Currency 5 6 5 4" xfId="10547" xr:uid="{F9267E21-1DCD-4F08-B758-0813B61E75FF}"/>
    <cellStyle name="Currency 5 6 5 5" xfId="18995" xr:uid="{8C052F7F-EC9D-4006-AB8E-445F3B7428F5}"/>
    <cellStyle name="Currency 5 6 6" xfId="2444" xr:uid="{00000000-0005-0000-0000-00007A0D0000}"/>
    <cellStyle name="Currency 5 6 6 2" xfId="6728" xr:uid="{00000000-0005-0000-0000-00007B0D0000}"/>
    <cellStyle name="Currency 5 6 6 2 2" xfId="15178" xr:uid="{5DC7BEE6-C26B-41BA-A286-229429FA2EC3}"/>
    <cellStyle name="Currency 5 6 6 2 3" xfId="23625" xr:uid="{A34B558E-8D95-4339-849D-9B1266C4624D}"/>
    <cellStyle name="Currency 5 6 6 3" xfId="10960" xr:uid="{FCBA927D-3F01-4481-8DEA-5D0D7397E746}"/>
    <cellStyle name="Currency 5 6 6 4" xfId="19408" xr:uid="{1775DFE0-B3C0-49CF-BFF1-73CA3CF8E71F}"/>
    <cellStyle name="Currency 5 6 7" xfId="2741" xr:uid="{00000000-0005-0000-0000-00007C0D0000}"/>
    <cellStyle name="Currency 5 6 8" xfId="2822" xr:uid="{00000000-0005-0000-0000-00007D0D0000}"/>
    <cellStyle name="Currency 5 6 8 2" xfId="7045" xr:uid="{00000000-0005-0000-0000-00007E0D0000}"/>
    <cellStyle name="Currency 5 6 8 2 2" xfId="15495" xr:uid="{1C46D366-49B5-4D51-BE3F-97BDEC9F194B}"/>
    <cellStyle name="Currency 5 6 8 2 3" xfId="23942" xr:uid="{707543B8-661D-4EE1-B6F7-0984925610B8}"/>
    <cellStyle name="Currency 5 6 8 3" xfId="11277" xr:uid="{E061115A-CB23-4D23-9E08-B75B0107B7F9}"/>
    <cellStyle name="Currency 5 6 8 4" xfId="19725" xr:uid="{C1C23907-8947-41B3-8795-F6D1E6A24902}"/>
    <cellStyle name="Currency 5 6 9" xfId="4662" xr:uid="{00000000-0005-0000-0000-00007F0D0000}"/>
    <cellStyle name="Currency 5 6 9 2" xfId="13112" xr:uid="{0781096A-736C-4F67-A86B-A84E05DAD5E5}"/>
    <cellStyle name="Currency 5 6 9 3" xfId="21559" xr:uid="{DBF07559-FDE2-42C7-B37E-4B372318B49F}"/>
    <cellStyle name="Currency 5 7" xfId="222" xr:uid="{00000000-0005-0000-0000-0000800D0000}"/>
    <cellStyle name="Currency 5 7 10" xfId="8895" xr:uid="{F5E3C71B-818F-4A67-9373-19A973BA84FF}"/>
    <cellStyle name="Currency 5 7 11" xfId="17343" xr:uid="{2FE126FB-774C-41C8-92D6-455D8DECA893}"/>
    <cellStyle name="Currency 5 7 2" xfId="748" xr:uid="{00000000-0005-0000-0000-0000810D0000}"/>
    <cellStyle name="Currency 5 7 2 2" xfId="3000" xr:uid="{00000000-0005-0000-0000-0000820D0000}"/>
    <cellStyle name="Currency 5 7 2 2 2" xfId="7222" xr:uid="{00000000-0005-0000-0000-0000830D0000}"/>
    <cellStyle name="Currency 5 7 2 2 2 2" xfId="15672" xr:uid="{D8E87136-4C7D-4D67-8059-377B1AE870D3}"/>
    <cellStyle name="Currency 5 7 2 2 2 3" xfId="24119" xr:uid="{0F3E7C15-6DD8-4983-96B5-06DBCB24C4C8}"/>
    <cellStyle name="Currency 5 7 2 2 3" xfId="11454" xr:uid="{C5392949-B52B-48C1-9B4F-F10DD4A6ED35}"/>
    <cellStyle name="Currency 5 7 2 2 4" xfId="19902" xr:uid="{D02BD732-BE84-425F-A1FD-DCC5C6C5FC43}"/>
    <cellStyle name="Currency 5 7 2 3" xfId="5077" xr:uid="{00000000-0005-0000-0000-0000840D0000}"/>
    <cellStyle name="Currency 5 7 2 3 2" xfId="13527" xr:uid="{8CD45DE6-5878-45CC-A1DA-2E2DAD32F162}"/>
    <cellStyle name="Currency 5 7 2 3 3" xfId="21974" xr:uid="{926FE440-2F4B-4628-A7FE-6A49797A9671}"/>
    <cellStyle name="Currency 5 7 2 4" xfId="9309" xr:uid="{4609DF31-F2A8-4B92-9FA6-8DF3FB7517FF}"/>
    <cellStyle name="Currency 5 7 2 5" xfId="17757" xr:uid="{5E78710D-4AD0-470F-BAA3-B0863A270C79}"/>
    <cellStyle name="Currency 5 7 3" xfId="1182" xr:uid="{00000000-0005-0000-0000-0000850D0000}"/>
    <cellStyle name="Currency 5 7 3 2" xfId="3413" xr:uid="{00000000-0005-0000-0000-0000860D0000}"/>
    <cellStyle name="Currency 5 7 3 2 2" xfId="7635" xr:uid="{00000000-0005-0000-0000-0000870D0000}"/>
    <cellStyle name="Currency 5 7 3 2 2 2" xfId="16085" xr:uid="{E0EC952E-F8D7-4F07-B501-4FB167C4AC9E}"/>
    <cellStyle name="Currency 5 7 3 2 2 3" xfId="24532" xr:uid="{74B982B6-AD1C-4FE8-9B86-E3A086A254F7}"/>
    <cellStyle name="Currency 5 7 3 2 3" xfId="11867" xr:uid="{10BFD4CF-F965-48FE-9BBD-4527EC7FFD2D}"/>
    <cellStyle name="Currency 5 7 3 2 4" xfId="20315" xr:uid="{CA613415-F08D-4438-ABA2-2DD59439EF7A}"/>
    <cellStyle name="Currency 5 7 3 3" xfId="5490" xr:uid="{00000000-0005-0000-0000-0000880D0000}"/>
    <cellStyle name="Currency 5 7 3 3 2" xfId="13940" xr:uid="{1212CDA0-7DD2-4BB2-89CA-DDAC76113D21}"/>
    <cellStyle name="Currency 5 7 3 3 3" xfId="22387" xr:uid="{83C6D2B2-F450-4E48-AC59-76ECA552A1E9}"/>
    <cellStyle name="Currency 5 7 3 4" xfId="9722" xr:uid="{37CC2683-EC49-47FD-B450-09BB705775BA}"/>
    <cellStyle name="Currency 5 7 3 5" xfId="18170" xr:uid="{578ED25A-A052-4E34-AE0B-A6FA7CE5F111}"/>
    <cellStyle name="Currency 5 7 4" xfId="1596" xr:uid="{00000000-0005-0000-0000-0000890D0000}"/>
    <cellStyle name="Currency 5 7 4 2" xfId="3826" xr:uid="{00000000-0005-0000-0000-00008A0D0000}"/>
    <cellStyle name="Currency 5 7 4 2 2" xfId="8048" xr:uid="{00000000-0005-0000-0000-00008B0D0000}"/>
    <cellStyle name="Currency 5 7 4 2 2 2" xfId="16498" xr:uid="{601AD891-09EF-4C28-B3CD-62AD124BA37A}"/>
    <cellStyle name="Currency 5 7 4 2 2 3" xfId="24945" xr:uid="{03DBD128-F53A-4D7A-BEF3-9883B8BFD98F}"/>
    <cellStyle name="Currency 5 7 4 2 3" xfId="12280" xr:uid="{CA85DB5F-E6FA-4393-B067-217ED6E901B2}"/>
    <cellStyle name="Currency 5 7 4 2 4" xfId="20728" xr:uid="{5DB14F9B-CF10-4BD2-A948-6BA61C050545}"/>
    <cellStyle name="Currency 5 7 4 3" xfId="5903" xr:uid="{00000000-0005-0000-0000-00008C0D0000}"/>
    <cellStyle name="Currency 5 7 4 3 2" xfId="14353" xr:uid="{98624983-1AF6-4B48-A4EB-8F085B7ED321}"/>
    <cellStyle name="Currency 5 7 4 3 3" xfId="22800" xr:uid="{F859762E-9673-488F-9E26-09FC1B8862D7}"/>
    <cellStyle name="Currency 5 7 4 4" xfId="10135" xr:uid="{29EA36D8-56F6-459D-BCC8-344875124AB2}"/>
    <cellStyle name="Currency 5 7 4 5" xfId="18583" xr:uid="{AFCB206F-3F79-433D-8BCE-760BDFC25AB0}"/>
    <cellStyle name="Currency 5 7 5" xfId="2010" xr:uid="{00000000-0005-0000-0000-00008D0D0000}"/>
    <cellStyle name="Currency 5 7 5 2" xfId="4239" xr:uid="{00000000-0005-0000-0000-00008E0D0000}"/>
    <cellStyle name="Currency 5 7 5 2 2" xfId="8461" xr:uid="{00000000-0005-0000-0000-00008F0D0000}"/>
    <cellStyle name="Currency 5 7 5 2 2 2" xfId="16911" xr:uid="{D6CBCDD9-1C46-4D13-B173-D1A9359A4D1C}"/>
    <cellStyle name="Currency 5 7 5 2 2 3" xfId="25358" xr:uid="{7CCAFBEF-53AD-4192-8816-062367A1D0E2}"/>
    <cellStyle name="Currency 5 7 5 2 3" xfId="12693" xr:uid="{F08560F6-F940-49CD-AD83-2B3A851760E0}"/>
    <cellStyle name="Currency 5 7 5 2 4" xfId="21141" xr:uid="{4F82FD2D-CA8E-47F4-A9F6-FE94DACBAC68}"/>
    <cellStyle name="Currency 5 7 5 3" xfId="6316" xr:uid="{00000000-0005-0000-0000-0000900D0000}"/>
    <cellStyle name="Currency 5 7 5 3 2" xfId="14766" xr:uid="{B83FA111-2557-4EF6-B280-07657B45A9C6}"/>
    <cellStyle name="Currency 5 7 5 3 3" xfId="23213" xr:uid="{F74D005C-F824-4A42-964A-867856132CFF}"/>
    <cellStyle name="Currency 5 7 5 4" xfId="10548" xr:uid="{0D7539E5-6151-41D8-84F7-4E15DD3EF90E}"/>
    <cellStyle name="Currency 5 7 5 5" xfId="18996" xr:uid="{710DD175-8131-4F69-87DD-D2D48EB322E4}"/>
    <cellStyle name="Currency 5 7 6" xfId="2445" xr:uid="{00000000-0005-0000-0000-0000910D0000}"/>
    <cellStyle name="Currency 5 7 6 2" xfId="6729" xr:uid="{00000000-0005-0000-0000-0000920D0000}"/>
    <cellStyle name="Currency 5 7 6 2 2" xfId="15179" xr:uid="{1DC3C6BA-A2CF-4021-9ABC-66D0F5409720}"/>
    <cellStyle name="Currency 5 7 6 2 3" xfId="23626" xr:uid="{5F6F766A-3FEE-4801-80C5-8CA0A15BCA80}"/>
    <cellStyle name="Currency 5 7 6 3" xfId="10961" xr:uid="{968602A4-FAA1-45F2-A314-CED81E4DFDCC}"/>
    <cellStyle name="Currency 5 7 6 4" xfId="19409" xr:uid="{3BA4D4B5-53C0-4A14-8744-DB05790617C1}"/>
    <cellStyle name="Currency 5 7 7" xfId="2742" xr:uid="{00000000-0005-0000-0000-0000930D0000}"/>
    <cellStyle name="Currency 5 7 8" xfId="2823" xr:uid="{00000000-0005-0000-0000-0000940D0000}"/>
    <cellStyle name="Currency 5 7 8 2" xfId="7046" xr:uid="{00000000-0005-0000-0000-0000950D0000}"/>
    <cellStyle name="Currency 5 7 8 2 2" xfId="15496" xr:uid="{1EDC646A-B4FC-4125-8AB2-ADDEB90CE252}"/>
    <cellStyle name="Currency 5 7 8 2 3" xfId="23943" xr:uid="{E8E95955-4144-4FAD-B111-BD24A104FF7E}"/>
    <cellStyle name="Currency 5 7 8 3" xfId="11278" xr:uid="{90FEA55E-C250-44F7-9A67-06E3100FFF25}"/>
    <cellStyle name="Currency 5 7 8 4" xfId="19726" xr:uid="{B9F26FCD-A4B0-4266-8CCF-C1844A9FC8D5}"/>
    <cellStyle name="Currency 5 7 9" xfId="4663" xr:uid="{00000000-0005-0000-0000-0000960D0000}"/>
    <cellStyle name="Currency 5 7 9 2" xfId="13113" xr:uid="{15E087D5-719B-425A-A0B7-6782651994CD}"/>
    <cellStyle name="Currency 5 7 9 3" xfId="21560" xr:uid="{90B7580F-1558-404C-881C-7F4DFD56A7D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0 2 2" xfId="15180" xr:uid="{B6643076-3B56-4BF5-92F5-A6CE76A5702D}"/>
    <cellStyle name="Normal 12 10 2 3" xfId="23627" xr:uid="{BDE18BEA-FE91-4EE2-9DC5-8CF95BFC638E}"/>
    <cellStyle name="Normal 12 10 3" xfId="10962" xr:uid="{7367B3EE-101B-4B3A-9AEA-C945F5EBC7BC}"/>
    <cellStyle name="Normal 12 10 4" xfId="19410" xr:uid="{3C5EDA45-65D2-4298-BA98-CBC024A938A8}"/>
    <cellStyle name="Normal 12 11" xfId="4664" xr:uid="{00000000-0005-0000-0000-0000CC0D0000}"/>
    <cellStyle name="Normal 12 11 2" xfId="13114" xr:uid="{EFED6120-D204-4C3E-8107-B53502B5F79B}"/>
    <cellStyle name="Normal 12 11 3" xfId="21561" xr:uid="{D2198F25-D780-43DD-9DC0-0336D9AF75E2}"/>
    <cellStyle name="Normal 12 12" xfId="8896" xr:uid="{060019EB-B83E-4FFE-9351-AE3EADBBC45B}"/>
    <cellStyle name="Normal 12 13" xfId="17344" xr:uid="{E5CE6E6E-3F93-491A-9472-22C8F233989C}"/>
    <cellStyle name="Normal 12 2" xfId="260" xr:uid="{00000000-0005-0000-0000-0000CD0D0000}"/>
    <cellStyle name="Normal 12 2 10" xfId="8897" xr:uid="{8899A713-766F-40B1-A715-5AB9C568820F}"/>
    <cellStyle name="Normal 12 2 11" xfId="17345" xr:uid="{B4184EEB-44D5-4A2B-A71F-DFF85F610D3B}"/>
    <cellStyle name="Normal 12 2 2" xfId="261" xr:uid="{00000000-0005-0000-0000-0000CE0D0000}"/>
    <cellStyle name="Normal 12 2 2 10" xfId="17346" xr:uid="{D04D41DC-3387-41E6-B891-33F5B54E1A14}"/>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2 2 2" xfId="15676" xr:uid="{F3EEA437-1BE6-491C-8B04-24D38C2BD405}"/>
    <cellStyle name="Normal 12 2 2 2 2 2 2 3" xfId="24123" xr:uid="{040E0ECB-B4F2-4A53-AAB6-73222A3E5942}"/>
    <cellStyle name="Normal 12 2 2 2 2 2 3" xfId="11458" xr:uid="{D96F2D4F-8440-431A-94ED-8595D2762CA3}"/>
    <cellStyle name="Normal 12 2 2 2 2 2 4" xfId="19906" xr:uid="{713EF82A-8CB1-4122-BCAF-85B0C69F181F}"/>
    <cellStyle name="Normal 12 2 2 2 2 3" xfId="5081" xr:uid="{00000000-0005-0000-0000-0000D30D0000}"/>
    <cellStyle name="Normal 12 2 2 2 2 3 2" xfId="13531" xr:uid="{4A6E52AA-5B04-4CE4-8898-EBA376F23CC2}"/>
    <cellStyle name="Normal 12 2 2 2 2 3 3" xfId="21978" xr:uid="{ABD73FF3-64A8-49C2-8B9B-1444829E6C6E}"/>
    <cellStyle name="Normal 12 2 2 2 2 4" xfId="9313" xr:uid="{6C62B7B5-D11B-4D6E-AFCF-C89920E9D28E}"/>
    <cellStyle name="Normal 12 2 2 2 2 5" xfId="17761" xr:uid="{BE2B27F4-D6A2-4AC0-8A40-C4A5785BC78E}"/>
    <cellStyle name="Normal 12 2 2 2 3" xfId="1186" xr:uid="{00000000-0005-0000-0000-0000D40D0000}"/>
    <cellStyle name="Normal 12 2 2 2 3 2" xfId="3417" xr:uid="{00000000-0005-0000-0000-0000D50D0000}"/>
    <cellStyle name="Normal 12 2 2 2 3 2 2" xfId="7639" xr:uid="{00000000-0005-0000-0000-0000D60D0000}"/>
    <cellStyle name="Normal 12 2 2 2 3 2 2 2" xfId="16089" xr:uid="{667B5259-ECC4-477C-A7E4-70D16C1AFF30}"/>
    <cellStyle name="Normal 12 2 2 2 3 2 2 3" xfId="24536" xr:uid="{28D80B6B-57D0-4AA6-B6DD-081F06C4D9B3}"/>
    <cellStyle name="Normal 12 2 2 2 3 2 3" xfId="11871" xr:uid="{A6A39785-E876-4AA3-B9A0-77FECEBD01B9}"/>
    <cellStyle name="Normal 12 2 2 2 3 2 4" xfId="20319" xr:uid="{AB46A5B8-6022-4A76-B088-CB6C2A563E00}"/>
    <cellStyle name="Normal 12 2 2 2 3 3" xfId="5494" xr:uid="{00000000-0005-0000-0000-0000D70D0000}"/>
    <cellStyle name="Normal 12 2 2 2 3 3 2" xfId="13944" xr:uid="{E4E9958A-2F0C-4A76-AC29-CABDC618ADE9}"/>
    <cellStyle name="Normal 12 2 2 2 3 3 3" xfId="22391" xr:uid="{A577F144-8360-4243-8E51-0CB4AEE3DC7F}"/>
    <cellStyle name="Normal 12 2 2 2 3 4" xfId="9726" xr:uid="{06E3188E-0F2C-4A3D-AEBE-A7214B22B02E}"/>
    <cellStyle name="Normal 12 2 2 2 3 5" xfId="18174" xr:uid="{591E60F3-BFC1-4D5E-A311-DAACD000F150}"/>
    <cellStyle name="Normal 12 2 2 2 4" xfId="1600" xr:uid="{00000000-0005-0000-0000-0000D80D0000}"/>
    <cellStyle name="Normal 12 2 2 2 4 2" xfId="3830" xr:uid="{00000000-0005-0000-0000-0000D90D0000}"/>
    <cellStyle name="Normal 12 2 2 2 4 2 2" xfId="8052" xr:uid="{00000000-0005-0000-0000-0000DA0D0000}"/>
    <cellStyle name="Normal 12 2 2 2 4 2 2 2" xfId="16502" xr:uid="{E07BD522-0CAB-4A1C-AC70-25156A984342}"/>
    <cellStyle name="Normal 12 2 2 2 4 2 2 3" xfId="24949" xr:uid="{6BFB2287-1F3E-48A3-9A57-5AEA15E62BC5}"/>
    <cellStyle name="Normal 12 2 2 2 4 2 3" xfId="12284" xr:uid="{0D3FEB64-91C6-461E-9D96-8FAB22D2E9C2}"/>
    <cellStyle name="Normal 12 2 2 2 4 2 4" xfId="20732" xr:uid="{137A834B-F5ED-4AE2-AD1E-54A412D46A36}"/>
    <cellStyle name="Normal 12 2 2 2 4 3" xfId="5907" xr:uid="{00000000-0005-0000-0000-0000DB0D0000}"/>
    <cellStyle name="Normal 12 2 2 2 4 3 2" xfId="14357" xr:uid="{94E554A9-6C78-474F-AF2A-108EFF0A6E21}"/>
    <cellStyle name="Normal 12 2 2 2 4 3 3" xfId="22804" xr:uid="{6A4FDDA9-05A8-4313-8CE8-CF0E203F6CD6}"/>
    <cellStyle name="Normal 12 2 2 2 4 4" xfId="10139" xr:uid="{002DA4FC-7F5F-4BEB-AE8A-11E2CA6635D4}"/>
    <cellStyle name="Normal 12 2 2 2 4 5" xfId="18587" xr:uid="{A7629422-4097-4061-B0A6-EF3534D61675}"/>
    <cellStyle name="Normal 12 2 2 2 5" xfId="2014" xr:uid="{00000000-0005-0000-0000-0000DC0D0000}"/>
    <cellStyle name="Normal 12 2 2 2 5 2" xfId="4243" xr:uid="{00000000-0005-0000-0000-0000DD0D0000}"/>
    <cellStyle name="Normal 12 2 2 2 5 2 2" xfId="8465" xr:uid="{00000000-0005-0000-0000-0000DE0D0000}"/>
    <cellStyle name="Normal 12 2 2 2 5 2 2 2" xfId="16915" xr:uid="{32321474-B472-4C41-A23C-66A0324193D3}"/>
    <cellStyle name="Normal 12 2 2 2 5 2 2 3" xfId="25362" xr:uid="{16AECCEA-DA73-4830-A7E0-1A97A4D4E03A}"/>
    <cellStyle name="Normal 12 2 2 2 5 2 3" xfId="12697" xr:uid="{F2650479-93F0-4A82-AF22-669AD1DCB135}"/>
    <cellStyle name="Normal 12 2 2 2 5 2 4" xfId="21145" xr:uid="{F7CA23C6-88BE-4F44-BCBE-50917B292CC3}"/>
    <cellStyle name="Normal 12 2 2 2 5 3" xfId="6320" xr:uid="{00000000-0005-0000-0000-0000DF0D0000}"/>
    <cellStyle name="Normal 12 2 2 2 5 3 2" xfId="14770" xr:uid="{6209F955-7DEF-455D-93DF-E4F5A167290C}"/>
    <cellStyle name="Normal 12 2 2 2 5 3 3" xfId="23217" xr:uid="{29B554ED-0BB8-4052-953C-D73CC671067C}"/>
    <cellStyle name="Normal 12 2 2 2 5 4" xfId="10552" xr:uid="{0A9985A8-1336-4CDF-9FB7-22DA5A5CE747}"/>
    <cellStyle name="Normal 12 2 2 2 5 5" xfId="19000" xr:uid="{6E52804D-7E4B-4C58-BABD-7B03B5961043}"/>
    <cellStyle name="Normal 12 2 2 2 6" xfId="2450" xr:uid="{00000000-0005-0000-0000-0000E00D0000}"/>
    <cellStyle name="Normal 12 2 2 2 6 2" xfId="6733" xr:uid="{00000000-0005-0000-0000-0000E10D0000}"/>
    <cellStyle name="Normal 12 2 2 2 6 2 2" xfId="15183" xr:uid="{C6A6324F-A3F6-41C4-AEA7-DA9490D88EAD}"/>
    <cellStyle name="Normal 12 2 2 2 6 2 3" xfId="23630" xr:uid="{B010F5FC-F355-4217-A926-3317124429D3}"/>
    <cellStyle name="Normal 12 2 2 2 6 3" xfId="10965" xr:uid="{BA60E5A1-F835-4C27-B6BD-9DE4E0B6D95A}"/>
    <cellStyle name="Normal 12 2 2 2 6 4" xfId="19413" xr:uid="{756C94A3-7014-45D0-BCD6-2E26A4E6D7B3}"/>
    <cellStyle name="Normal 12 2 2 2 7" xfId="4667" xr:uid="{00000000-0005-0000-0000-0000E20D0000}"/>
    <cellStyle name="Normal 12 2 2 2 7 2" xfId="13117" xr:uid="{3BE640E0-2775-40D4-BC74-82615FFB3B59}"/>
    <cellStyle name="Normal 12 2 2 2 7 3" xfId="21564" xr:uid="{0EC8F34C-927A-478B-A333-905F7E649DB6}"/>
    <cellStyle name="Normal 12 2 2 2 8" xfId="8899" xr:uid="{2E50EF5C-3F48-4DE7-A545-CB2621292FF6}"/>
    <cellStyle name="Normal 12 2 2 2 9" xfId="17347" xr:uid="{1EAEE638-772E-429B-AADB-22B17B08797E}"/>
    <cellStyle name="Normal 12 2 2 3" xfId="762" xr:uid="{00000000-0005-0000-0000-0000E30D0000}"/>
    <cellStyle name="Normal 12 2 2 3 2" xfId="3003" xr:uid="{00000000-0005-0000-0000-0000E40D0000}"/>
    <cellStyle name="Normal 12 2 2 3 2 2" xfId="7225" xr:uid="{00000000-0005-0000-0000-0000E50D0000}"/>
    <cellStyle name="Normal 12 2 2 3 2 2 2" xfId="15675" xr:uid="{28A491BB-D716-459A-B758-6A316CDB5BBB}"/>
    <cellStyle name="Normal 12 2 2 3 2 2 3" xfId="24122" xr:uid="{0F0ADC3A-BC49-4FDC-84A7-D9182558590C}"/>
    <cellStyle name="Normal 12 2 2 3 2 3" xfId="11457" xr:uid="{9FDCF20B-22B6-414A-A255-0B58DE3AF6B0}"/>
    <cellStyle name="Normal 12 2 2 3 2 4" xfId="19905" xr:uid="{AF73316A-DD3C-458E-AF4A-21C14F508ECB}"/>
    <cellStyle name="Normal 12 2 2 3 3" xfId="5080" xr:uid="{00000000-0005-0000-0000-0000E60D0000}"/>
    <cellStyle name="Normal 12 2 2 3 3 2" xfId="13530" xr:uid="{A0DC0BC3-0487-4EF0-BDEB-D055A1283D63}"/>
    <cellStyle name="Normal 12 2 2 3 3 3" xfId="21977" xr:uid="{AE883FA7-521E-4F15-A73F-F36E205297C5}"/>
    <cellStyle name="Normal 12 2 2 3 4" xfId="9312" xr:uid="{05C43084-DD7D-4446-BD2E-0E70E4475E0F}"/>
    <cellStyle name="Normal 12 2 2 3 5" xfId="17760" xr:uid="{EC94715F-85B4-4916-8D87-8AA603501A30}"/>
    <cellStyle name="Normal 12 2 2 4" xfId="1185" xr:uid="{00000000-0005-0000-0000-0000E70D0000}"/>
    <cellStyle name="Normal 12 2 2 4 2" xfId="3416" xr:uid="{00000000-0005-0000-0000-0000E80D0000}"/>
    <cellStyle name="Normal 12 2 2 4 2 2" xfId="7638" xr:uid="{00000000-0005-0000-0000-0000E90D0000}"/>
    <cellStyle name="Normal 12 2 2 4 2 2 2" xfId="16088" xr:uid="{B1B5DEDA-6DBD-4AF7-A01D-B2BD7643D490}"/>
    <cellStyle name="Normal 12 2 2 4 2 2 3" xfId="24535" xr:uid="{8880F83F-CCB7-40D9-A571-E20B1DE9ED79}"/>
    <cellStyle name="Normal 12 2 2 4 2 3" xfId="11870" xr:uid="{DAD85BD1-B3CA-488C-A44F-2F35323C6BD6}"/>
    <cellStyle name="Normal 12 2 2 4 2 4" xfId="20318" xr:uid="{813F4FEF-3F51-40DA-9793-01BB8F80512B}"/>
    <cellStyle name="Normal 12 2 2 4 3" xfId="5493" xr:uid="{00000000-0005-0000-0000-0000EA0D0000}"/>
    <cellStyle name="Normal 12 2 2 4 3 2" xfId="13943" xr:uid="{9A9A62D9-7862-4E2E-ACE7-E8DD564865A6}"/>
    <cellStyle name="Normal 12 2 2 4 3 3" xfId="22390" xr:uid="{296ED14E-1BB3-46B4-9854-A522BF27A711}"/>
    <cellStyle name="Normal 12 2 2 4 4" xfId="9725" xr:uid="{BFE8D8F9-D1EB-4924-BC77-A7C82FEA3B37}"/>
    <cellStyle name="Normal 12 2 2 4 5" xfId="18173" xr:uid="{59DB3FED-071C-4D45-955B-8E747BB445A6}"/>
    <cellStyle name="Normal 12 2 2 5" xfId="1599" xr:uid="{00000000-0005-0000-0000-0000EB0D0000}"/>
    <cellStyle name="Normal 12 2 2 5 2" xfId="3829" xr:uid="{00000000-0005-0000-0000-0000EC0D0000}"/>
    <cellStyle name="Normal 12 2 2 5 2 2" xfId="8051" xr:uid="{00000000-0005-0000-0000-0000ED0D0000}"/>
    <cellStyle name="Normal 12 2 2 5 2 2 2" xfId="16501" xr:uid="{D140DE98-6831-4CE6-A7BF-15773FE70693}"/>
    <cellStyle name="Normal 12 2 2 5 2 2 3" xfId="24948" xr:uid="{1EAC0825-78EA-41BB-A018-824DDD4C92EE}"/>
    <cellStyle name="Normal 12 2 2 5 2 3" xfId="12283" xr:uid="{7BBFA0AD-DE29-403C-9DC0-7D6C4F630981}"/>
    <cellStyle name="Normal 12 2 2 5 2 4" xfId="20731" xr:uid="{B89DD65D-7E0B-4C13-A7DA-92F97A9F2338}"/>
    <cellStyle name="Normal 12 2 2 5 3" xfId="5906" xr:uid="{00000000-0005-0000-0000-0000EE0D0000}"/>
    <cellStyle name="Normal 12 2 2 5 3 2" xfId="14356" xr:uid="{00CEE49D-685E-4A5B-A0A4-8CA4792CED66}"/>
    <cellStyle name="Normal 12 2 2 5 3 3" xfId="22803" xr:uid="{FF9F3A50-BB63-4409-B6CF-DB8D5D2E8F9F}"/>
    <cellStyle name="Normal 12 2 2 5 4" xfId="10138" xr:uid="{F6A95FC3-0C7A-4438-A3A9-2D885BC23158}"/>
    <cellStyle name="Normal 12 2 2 5 5" xfId="18586" xr:uid="{D0475E8B-211F-4BA8-8B9D-459DE085C521}"/>
    <cellStyle name="Normal 12 2 2 6" xfId="2013" xr:uid="{00000000-0005-0000-0000-0000EF0D0000}"/>
    <cellStyle name="Normal 12 2 2 6 2" xfId="4242" xr:uid="{00000000-0005-0000-0000-0000F00D0000}"/>
    <cellStyle name="Normal 12 2 2 6 2 2" xfId="8464" xr:uid="{00000000-0005-0000-0000-0000F10D0000}"/>
    <cellStyle name="Normal 12 2 2 6 2 2 2" xfId="16914" xr:uid="{9D87109B-2C7A-4F35-BC2E-E57347734DFF}"/>
    <cellStyle name="Normal 12 2 2 6 2 2 3" xfId="25361" xr:uid="{856482D3-1A3E-4E1E-B309-62E6AA73DBD6}"/>
    <cellStyle name="Normal 12 2 2 6 2 3" xfId="12696" xr:uid="{9A0E8078-F4B2-4193-ACF3-446432CF2DDA}"/>
    <cellStyle name="Normal 12 2 2 6 2 4" xfId="21144" xr:uid="{AFE48152-9807-40C6-A144-4ED8FF7ADF20}"/>
    <cellStyle name="Normal 12 2 2 6 3" xfId="6319" xr:uid="{00000000-0005-0000-0000-0000F20D0000}"/>
    <cellStyle name="Normal 12 2 2 6 3 2" xfId="14769" xr:uid="{238F7055-36CF-40F9-947D-ABD2B552192E}"/>
    <cellStyle name="Normal 12 2 2 6 3 3" xfId="23216" xr:uid="{AB22A075-B92F-4645-A9D9-E8229E8A31D1}"/>
    <cellStyle name="Normal 12 2 2 6 4" xfId="10551" xr:uid="{C3457B1E-55F8-4E5A-A85D-820C82B559DF}"/>
    <cellStyle name="Normal 12 2 2 6 5" xfId="18999" xr:uid="{3BF00876-99BC-4C0C-9253-B562DC8BF40A}"/>
    <cellStyle name="Normal 12 2 2 7" xfId="2449" xr:uid="{00000000-0005-0000-0000-0000F30D0000}"/>
    <cellStyle name="Normal 12 2 2 7 2" xfId="6732" xr:uid="{00000000-0005-0000-0000-0000F40D0000}"/>
    <cellStyle name="Normal 12 2 2 7 2 2" xfId="15182" xr:uid="{24B83D3E-E1A5-4FC8-B4DA-21BE43F69559}"/>
    <cellStyle name="Normal 12 2 2 7 2 3" xfId="23629" xr:uid="{C087E067-D2C8-4596-BF79-4EA21FCE730B}"/>
    <cellStyle name="Normal 12 2 2 7 3" xfId="10964" xr:uid="{99082B37-1130-41A9-BC6F-A596B7CE235B}"/>
    <cellStyle name="Normal 12 2 2 7 4" xfId="19412" xr:uid="{6D9A52E9-A4E5-492F-8D13-CD26B3DD3466}"/>
    <cellStyle name="Normal 12 2 2 8" xfId="4666" xr:uid="{00000000-0005-0000-0000-0000F50D0000}"/>
    <cellStyle name="Normal 12 2 2 8 2" xfId="13116" xr:uid="{F96B5C5E-785D-400B-B5A4-A295DCABDDA9}"/>
    <cellStyle name="Normal 12 2 2 8 3" xfId="21563" xr:uid="{C8461C33-D3FF-4630-A55D-48879661F0EA}"/>
    <cellStyle name="Normal 12 2 2 9" xfId="8898" xr:uid="{3DF6D6C4-58BA-4715-8A24-13E07B8BFE56}"/>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2 2 2" xfId="15677" xr:uid="{97C0E28D-295F-4C94-8C7D-636B929A8C2B}"/>
    <cellStyle name="Normal 12 2 3 2 2 2 3" xfId="24124" xr:uid="{2227D581-B859-471F-874A-F7783497D92E}"/>
    <cellStyle name="Normal 12 2 3 2 2 3" xfId="11459" xr:uid="{744D1D91-D000-4B33-AD81-87BB732FDD83}"/>
    <cellStyle name="Normal 12 2 3 2 2 4" xfId="19907" xr:uid="{F07B784A-2108-407F-A602-56D348EABE37}"/>
    <cellStyle name="Normal 12 2 3 2 3" xfId="5082" xr:uid="{00000000-0005-0000-0000-0000FA0D0000}"/>
    <cellStyle name="Normal 12 2 3 2 3 2" xfId="13532" xr:uid="{10348872-7D2D-48D5-AB99-4D66E4DD91E8}"/>
    <cellStyle name="Normal 12 2 3 2 3 3" xfId="21979" xr:uid="{8F34A854-9A03-4CBB-A7E2-557F7CB301CA}"/>
    <cellStyle name="Normal 12 2 3 2 4" xfId="9314" xr:uid="{BBC11B7F-C580-4B83-9637-1EB6CB0011D9}"/>
    <cellStyle name="Normal 12 2 3 2 5" xfId="17762" xr:uid="{F0A1D1BC-412B-4E87-88EC-0DC65794546D}"/>
    <cellStyle name="Normal 12 2 3 3" xfId="1187" xr:uid="{00000000-0005-0000-0000-0000FB0D0000}"/>
    <cellStyle name="Normal 12 2 3 3 2" xfId="3418" xr:uid="{00000000-0005-0000-0000-0000FC0D0000}"/>
    <cellStyle name="Normal 12 2 3 3 2 2" xfId="7640" xr:uid="{00000000-0005-0000-0000-0000FD0D0000}"/>
    <cellStyle name="Normal 12 2 3 3 2 2 2" xfId="16090" xr:uid="{CD943CCD-B8CC-409E-A2F1-6550C631EFEA}"/>
    <cellStyle name="Normal 12 2 3 3 2 2 3" xfId="24537" xr:uid="{99F9A754-7B45-4558-B5AC-482A927C4076}"/>
    <cellStyle name="Normal 12 2 3 3 2 3" xfId="11872" xr:uid="{D20BDE9F-0CDD-4346-BA2B-A7184E30E075}"/>
    <cellStyle name="Normal 12 2 3 3 2 4" xfId="20320" xr:uid="{11EB6F7F-6B08-4394-845B-95B6550D9558}"/>
    <cellStyle name="Normal 12 2 3 3 3" xfId="5495" xr:uid="{00000000-0005-0000-0000-0000FE0D0000}"/>
    <cellStyle name="Normal 12 2 3 3 3 2" xfId="13945" xr:uid="{BD5D0E58-9B90-409A-B2F1-8F62811D7398}"/>
    <cellStyle name="Normal 12 2 3 3 3 3" xfId="22392" xr:uid="{C164BB6B-EA65-4F52-866B-C5730B42B9E9}"/>
    <cellStyle name="Normal 12 2 3 3 4" xfId="9727" xr:uid="{D629BA5D-C353-4739-884D-7CC1E78906BA}"/>
    <cellStyle name="Normal 12 2 3 3 5" xfId="18175" xr:uid="{8ADBEC74-6CCF-4606-B5A6-38AFC0377FD2}"/>
    <cellStyle name="Normal 12 2 3 4" xfId="1601" xr:uid="{00000000-0005-0000-0000-0000FF0D0000}"/>
    <cellStyle name="Normal 12 2 3 4 2" xfId="3831" xr:uid="{00000000-0005-0000-0000-0000000E0000}"/>
    <cellStyle name="Normal 12 2 3 4 2 2" xfId="8053" xr:uid="{00000000-0005-0000-0000-0000010E0000}"/>
    <cellStyle name="Normal 12 2 3 4 2 2 2" xfId="16503" xr:uid="{72DDB46D-4601-4EAF-B851-A9D60AB0662B}"/>
    <cellStyle name="Normal 12 2 3 4 2 2 3" xfId="24950" xr:uid="{44BC4DFD-9A5F-4520-BB52-4029E5DAB323}"/>
    <cellStyle name="Normal 12 2 3 4 2 3" xfId="12285" xr:uid="{7EBE08C9-CCB9-41EC-87E2-EBBFF42911CB}"/>
    <cellStyle name="Normal 12 2 3 4 2 4" xfId="20733" xr:uid="{3A48FE00-DD4F-4EC9-B325-094C9F248E53}"/>
    <cellStyle name="Normal 12 2 3 4 3" xfId="5908" xr:uid="{00000000-0005-0000-0000-0000020E0000}"/>
    <cellStyle name="Normal 12 2 3 4 3 2" xfId="14358" xr:uid="{7968180D-B004-414F-84B8-CBB7A7A95794}"/>
    <cellStyle name="Normal 12 2 3 4 3 3" xfId="22805" xr:uid="{733656D9-0304-4185-BD3C-F55D6D5FEDFC}"/>
    <cellStyle name="Normal 12 2 3 4 4" xfId="10140" xr:uid="{3078D6D3-8D38-4563-8634-8B8DA2D1A7A2}"/>
    <cellStyle name="Normal 12 2 3 4 5" xfId="18588" xr:uid="{FB2E1B2B-0511-45F8-AD54-711F919D289D}"/>
    <cellStyle name="Normal 12 2 3 5" xfId="2015" xr:uid="{00000000-0005-0000-0000-0000030E0000}"/>
    <cellStyle name="Normal 12 2 3 5 2" xfId="4244" xr:uid="{00000000-0005-0000-0000-0000040E0000}"/>
    <cellStyle name="Normal 12 2 3 5 2 2" xfId="8466" xr:uid="{00000000-0005-0000-0000-0000050E0000}"/>
    <cellStyle name="Normal 12 2 3 5 2 2 2" xfId="16916" xr:uid="{F30134F3-4DFB-48EF-9893-1DDF7C1A5CA5}"/>
    <cellStyle name="Normal 12 2 3 5 2 2 3" xfId="25363" xr:uid="{22343AB4-A1C0-4636-9D74-C9D6C70F7BF3}"/>
    <cellStyle name="Normal 12 2 3 5 2 3" xfId="12698" xr:uid="{E9BC8349-EE2C-40E4-BFC8-E047460B39F1}"/>
    <cellStyle name="Normal 12 2 3 5 2 4" xfId="21146" xr:uid="{F23CAF72-1147-4C9C-88E7-A5726CE5A922}"/>
    <cellStyle name="Normal 12 2 3 5 3" xfId="6321" xr:uid="{00000000-0005-0000-0000-0000060E0000}"/>
    <cellStyle name="Normal 12 2 3 5 3 2" xfId="14771" xr:uid="{AC570786-55C9-4657-9BF1-5E97A16C9FA3}"/>
    <cellStyle name="Normal 12 2 3 5 3 3" xfId="23218" xr:uid="{F42AA1D3-7A6F-4E81-9478-012D4DBD9EE7}"/>
    <cellStyle name="Normal 12 2 3 5 4" xfId="10553" xr:uid="{295C70C7-D3E7-469E-A777-F979C0CF231F}"/>
    <cellStyle name="Normal 12 2 3 5 5" xfId="19001" xr:uid="{51C362A3-F094-4F76-99FA-F5DBF35BA952}"/>
    <cellStyle name="Normal 12 2 3 6" xfId="2451" xr:uid="{00000000-0005-0000-0000-0000070E0000}"/>
    <cellStyle name="Normal 12 2 3 6 2" xfId="6734" xr:uid="{00000000-0005-0000-0000-0000080E0000}"/>
    <cellStyle name="Normal 12 2 3 6 2 2" xfId="15184" xr:uid="{9065B01B-843B-40E8-B87D-73228147088C}"/>
    <cellStyle name="Normal 12 2 3 6 2 3" xfId="23631" xr:uid="{2870B637-1698-40CC-98EA-D00743A9A839}"/>
    <cellStyle name="Normal 12 2 3 6 3" xfId="10966" xr:uid="{9BCD9706-612A-4ABE-A2DB-35050CFD69D2}"/>
    <cellStyle name="Normal 12 2 3 6 4" xfId="19414" xr:uid="{077E5A75-7861-40A6-9317-FFA06E3D682C}"/>
    <cellStyle name="Normal 12 2 3 7" xfId="4668" xr:uid="{00000000-0005-0000-0000-0000090E0000}"/>
    <cellStyle name="Normal 12 2 3 7 2" xfId="13118" xr:uid="{DC5E157A-9F9B-4496-955E-1BBB2FE4411A}"/>
    <cellStyle name="Normal 12 2 3 7 3" xfId="21565" xr:uid="{903533B8-40AB-4E88-B801-D77788B8492E}"/>
    <cellStyle name="Normal 12 2 3 8" xfId="8900" xr:uid="{4D178FD5-C8DC-4794-B8B7-83FA7D6AF435}"/>
    <cellStyle name="Normal 12 2 3 9" xfId="17348" xr:uid="{9A771B5E-3FBE-46EA-B115-54F7B766947F}"/>
    <cellStyle name="Normal 12 2 4" xfId="761" xr:uid="{00000000-0005-0000-0000-00000A0E0000}"/>
    <cellStyle name="Normal 12 2 4 2" xfId="3002" xr:uid="{00000000-0005-0000-0000-00000B0E0000}"/>
    <cellStyle name="Normal 12 2 4 2 2" xfId="7224" xr:uid="{00000000-0005-0000-0000-00000C0E0000}"/>
    <cellStyle name="Normal 12 2 4 2 2 2" xfId="15674" xr:uid="{52EC30F1-A357-4219-B874-8A0F471FE4E7}"/>
    <cellStyle name="Normal 12 2 4 2 2 3" xfId="24121" xr:uid="{83DB45A3-87AB-4062-B2E5-8419DA91EDC3}"/>
    <cellStyle name="Normal 12 2 4 2 3" xfId="11456" xr:uid="{2B769DAA-0EF8-43F4-9956-A95AADEBBD19}"/>
    <cellStyle name="Normal 12 2 4 2 4" xfId="19904" xr:uid="{C72CA811-6C47-45A9-B5CE-07F104B661B9}"/>
    <cellStyle name="Normal 12 2 4 3" xfId="5079" xr:uid="{00000000-0005-0000-0000-00000D0E0000}"/>
    <cellStyle name="Normal 12 2 4 3 2" xfId="13529" xr:uid="{3724DC79-C883-4693-BE0B-BCD682675DA9}"/>
    <cellStyle name="Normal 12 2 4 3 3" xfId="21976" xr:uid="{F2A60570-783F-400C-93D4-01067EF88187}"/>
    <cellStyle name="Normal 12 2 4 4" xfId="9311" xr:uid="{93045085-F919-439E-991E-2C5F3BB477CD}"/>
    <cellStyle name="Normal 12 2 4 5" xfId="17759" xr:uid="{66273C70-4999-4180-80AF-0EF52BB07830}"/>
    <cellStyle name="Normal 12 2 5" xfId="1184" xr:uid="{00000000-0005-0000-0000-00000E0E0000}"/>
    <cellStyle name="Normal 12 2 5 2" xfId="3415" xr:uid="{00000000-0005-0000-0000-00000F0E0000}"/>
    <cellStyle name="Normal 12 2 5 2 2" xfId="7637" xr:uid="{00000000-0005-0000-0000-0000100E0000}"/>
    <cellStyle name="Normal 12 2 5 2 2 2" xfId="16087" xr:uid="{2C0EDCC5-5A7B-4A10-B244-3B57E81E0121}"/>
    <cellStyle name="Normal 12 2 5 2 2 3" xfId="24534" xr:uid="{8595BC67-23A5-4305-B059-18C8DFB58A1F}"/>
    <cellStyle name="Normal 12 2 5 2 3" xfId="11869" xr:uid="{8C0F68BC-A501-4072-AC1E-D35D5749C3DA}"/>
    <cellStyle name="Normal 12 2 5 2 4" xfId="20317" xr:uid="{29735B02-E74C-43D5-95FA-7FEC6C424776}"/>
    <cellStyle name="Normal 12 2 5 3" xfId="5492" xr:uid="{00000000-0005-0000-0000-0000110E0000}"/>
    <cellStyle name="Normal 12 2 5 3 2" xfId="13942" xr:uid="{F4F3185A-8E1A-44E2-A1CB-B43DABE4BC1C}"/>
    <cellStyle name="Normal 12 2 5 3 3" xfId="22389" xr:uid="{21961DCD-3383-408A-9512-BD15F61B34D7}"/>
    <cellStyle name="Normal 12 2 5 4" xfId="9724" xr:uid="{6382BAA4-29D2-45B4-81C1-0378CA89587F}"/>
    <cellStyle name="Normal 12 2 5 5" xfId="18172" xr:uid="{DE6A2486-A947-4C1B-BC08-1E0116987887}"/>
    <cellStyle name="Normal 12 2 6" xfId="1598" xr:uid="{00000000-0005-0000-0000-0000120E0000}"/>
    <cellStyle name="Normal 12 2 6 2" xfId="3828" xr:uid="{00000000-0005-0000-0000-0000130E0000}"/>
    <cellStyle name="Normal 12 2 6 2 2" xfId="8050" xr:uid="{00000000-0005-0000-0000-0000140E0000}"/>
    <cellStyle name="Normal 12 2 6 2 2 2" xfId="16500" xr:uid="{0EA235DD-7FD3-4C23-A934-22C95C3BC836}"/>
    <cellStyle name="Normal 12 2 6 2 2 3" xfId="24947" xr:uid="{88D3812B-9063-400B-B752-C90D903D4258}"/>
    <cellStyle name="Normal 12 2 6 2 3" xfId="12282" xr:uid="{A66EB862-B9F2-434F-924B-CC615C089116}"/>
    <cellStyle name="Normal 12 2 6 2 4" xfId="20730" xr:uid="{82EB0C3C-16E9-4C1A-B22D-E5D17129EBF1}"/>
    <cellStyle name="Normal 12 2 6 3" xfId="5905" xr:uid="{00000000-0005-0000-0000-0000150E0000}"/>
    <cellStyle name="Normal 12 2 6 3 2" xfId="14355" xr:uid="{4366B059-E00D-4913-880F-B25D061E4A53}"/>
    <cellStyle name="Normal 12 2 6 3 3" xfId="22802" xr:uid="{C7B073D4-9728-455C-974F-6CE7DCC1E4FF}"/>
    <cellStyle name="Normal 12 2 6 4" xfId="10137" xr:uid="{5F06B463-12CD-4538-91CE-ECBC94D50122}"/>
    <cellStyle name="Normal 12 2 6 5" xfId="18585" xr:uid="{81EEC002-B8E4-4E4B-8A86-6AF992F7696B}"/>
    <cellStyle name="Normal 12 2 7" xfId="2012" xr:uid="{00000000-0005-0000-0000-0000160E0000}"/>
    <cellStyle name="Normal 12 2 7 2" xfId="4241" xr:uid="{00000000-0005-0000-0000-0000170E0000}"/>
    <cellStyle name="Normal 12 2 7 2 2" xfId="8463" xr:uid="{00000000-0005-0000-0000-0000180E0000}"/>
    <cellStyle name="Normal 12 2 7 2 2 2" xfId="16913" xr:uid="{91594D2A-D66A-424C-AD4E-6538F8FF487F}"/>
    <cellStyle name="Normal 12 2 7 2 2 3" xfId="25360" xr:uid="{3ABCB452-BC50-4D16-B35B-BF07DEF58992}"/>
    <cellStyle name="Normal 12 2 7 2 3" xfId="12695" xr:uid="{79B523CC-DD1D-451A-9BFB-A72553423F2F}"/>
    <cellStyle name="Normal 12 2 7 2 4" xfId="21143" xr:uid="{1C59B4D2-FA3F-4D93-9513-926C457545F7}"/>
    <cellStyle name="Normal 12 2 7 3" xfId="6318" xr:uid="{00000000-0005-0000-0000-0000190E0000}"/>
    <cellStyle name="Normal 12 2 7 3 2" xfId="14768" xr:uid="{6F70EC64-FCBD-4D15-824F-B2E90786C1E1}"/>
    <cellStyle name="Normal 12 2 7 3 3" xfId="23215" xr:uid="{66748EE4-F851-4872-9FAC-EFCBE59867F1}"/>
    <cellStyle name="Normal 12 2 7 4" xfId="10550" xr:uid="{47F0BF31-9B53-4EB2-845F-8606F4DBAB48}"/>
    <cellStyle name="Normal 12 2 7 5" xfId="18998" xr:uid="{F9732D25-AF5C-4FAB-8DD3-3BDC58CB55FF}"/>
    <cellStyle name="Normal 12 2 8" xfId="2448" xr:uid="{00000000-0005-0000-0000-00001A0E0000}"/>
    <cellStyle name="Normal 12 2 8 2" xfId="6731" xr:uid="{00000000-0005-0000-0000-00001B0E0000}"/>
    <cellStyle name="Normal 12 2 8 2 2" xfId="15181" xr:uid="{269A234D-A417-4FB1-8BC7-857E3BB79401}"/>
    <cellStyle name="Normal 12 2 8 2 3" xfId="23628" xr:uid="{48023A22-1C6C-494E-B28F-15162340B1B7}"/>
    <cellStyle name="Normal 12 2 8 3" xfId="10963" xr:uid="{F7E2A108-5898-486D-A0C4-63CD24E030A1}"/>
    <cellStyle name="Normal 12 2 8 4" xfId="19411" xr:uid="{059CE495-E541-4294-AE92-1AB3EC036E69}"/>
    <cellStyle name="Normal 12 2 9" xfId="4665" xr:uid="{00000000-0005-0000-0000-00001C0E0000}"/>
    <cellStyle name="Normal 12 2 9 2" xfId="13115" xr:uid="{26075D4D-D836-44F9-A5DA-C4C91886AFF4}"/>
    <cellStyle name="Normal 12 2 9 3" xfId="21562" xr:uid="{4EC2981E-8BAD-4FEB-A2B7-8B7777CB38D8}"/>
    <cellStyle name="Normal 12 3" xfId="264" xr:uid="{00000000-0005-0000-0000-00001D0E0000}"/>
    <cellStyle name="Normal 12 3 10" xfId="17349" xr:uid="{767AE286-5FCE-4D6E-91ED-0B122B89136C}"/>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2 2 2" xfId="15679" xr:uid="{92FB672B-8F21-43E9-9A6F-544B434A9BB2}"/>
    <cellStyle name="Normal 12 3 2 2 2 2 3" xfId="24126" xr:uid="{8D9F53C2-F782-46DE-9EFD-893021CBC550}"/>
    <cellStyle name="Normal 12 3 2 2 2 3" xfId="11461" xr:uid="{BB3C4BD5-99F8-4F15-8269-AAE810DAB2EC}"/>
    <cellStyle name="Normal 12 3 2 2 2 4" xfId="19909" xr:uid="{5673990F-BE99-439A-9B30-454F3EAA64C7}"/>
    <cellStyle name="Normal 12 3 2 2 3" xfId="5084" xr:uid="{00000000-0005-0000-0000-0000220E0000}"/>
    <cellStyle name="Normal 12 3 2 2 3 2" xfId="13534" xr:uid="{6826C344-5EF3-407D-9B5B-B1D450E0070B}"/>
    <cellStyle name="Normal 12 3 2 2 3 3" xfId="21981" xr:uid="{B3647A8A-8731-4520-B0C5-66CF7C908D46}"/>
    <cellStyle name="Normal 12 3 2 2 4" xfId="9316" xr:uid="{424EB539-C7C7-4853-A508-8B78E353A767}"/>
    <cellStyle name="Normal 12 3 2 2 5" xfId="17764" xr:uid="{93FF2100-0965-42C2-A343-0B382AEB7195}"/>
    <cellStyle name="Normal 12 3 2 3" xfId="1189" xr:uid="{00000000-0005-0000-0000-0000230E0000}"/>
    <cellStyle name="Normal 12 3 2 3 2" xfId="3420" xr:uid="{00000000-0005-0000-0000-0000240E0000}"/>
    <cellStyle name="Normal 12 3 2 3 2 2" xfId="7642" xr:uid="{00000000-0005-0000-0000-0000250E0000}"/>
    <cellStyle name="Normal 12 3 2 3 2 2 2" xfId="16092" xr:uid="{7FACA71C-BDB6-4B26-A4DA-5C368FE58085}"/>
    <cellStyle name="Normal 12 3 2 3 2 2 3" xfId="24539" xr:uid="{7A284876-5C69-4880-9BAE-F78E7218AF09}"/>
    <cellStyle name="Normal 12 3 2 3 2 3" xfId="11874" xr:uid="{82030EDC-E997-4E4F-A1E9-CA8C98C84F98}"/>
    <cellStyle name="Normal 12 3 2 3 2 4" xfId="20322" xr:uid="{1241008A-F208-4520-A548-E8C85C7BC860}"/>
    <cellStyle name="Normal 12 3 2 3 3" xfId="5497" xr:uid="{00000000-0005-0000-0000-0000260E0000}"/>
    <cellStyle name="Normal 12 3 2 3 3 2" xfId="13947" xr:uid="{7BA586F4-5003-41F9-9EF6-77613A612020}"/>
    <cellStyle name="Normal 12 3 2 3 3 3" xfId="22394" xr:uid="{CDB4F5C4-AA2D-49B4-8955-40B93BED3248}"/>
    <cellStyle name="Normal 12 3 2 3 4" xfId="9729" xr:uid="{86C25C88-A001-4ECE-B256-27686CE4692A}"/>
    <cellStyle name="Normal 12 3 2 3 5" xfId="18177" xr:uid="{FF91130E-96A5-49FD-A749-754F727E5410}"/>
    <cellStyle name="Normal 12 3 2 4" xfId="1603" xr:uid="{00000000-0005-0000-0000-0000270E0000}"/>
    <cellStyle name="Normal 12 3 2 4 2" xfId="3833" xr:uid="{00000000-0005-0000-0000-0000280E0000}"/>
    <cellStyle name="Normal 12 3 2 4 2 2" xfId="8055" xr:uid="{00000000-0005-0000-0000-0000290E0000}"/>
    <cellStyle name="Normal 12 3 2 4 2 2 2" xfId="16505" xr:uid="{C87000D0-7F01-422E-A602-B249D99DECB4}"/>
    <cellStyle name="Normal 12 3 2 4 2 2 3" xfId="24952" xr:uid="{AAF59925-3C34-4D21-B87D-E802B16BCC49}"/>
    <cellStyle name="Normal 12 3 2 4 2 3" xfId="12287" xr:uid="{6B5B8E9D-9FFE-4DF8-8409-2019537182E4}"/>
    <cellStyle name="Normal 12 3 2 4 2 4" xfId="20735" xr:uid="{F4D59AE7-03E4-4A0B-BDBE-A5E21066464A}"/>
    <cellStyle name="Normal 12 3 2 4 3" xfId="5910" xr:uid="{00000000-0005-0000-0000-00002A0E0000}"/>
    <cellStyle name="Normal 12 3 2 4 3 2" xfId="14360" xr:uid="{784D78C3-6500-4F03-9BB4-8A36A1C77852}"/>
    <cellStyle name="Normal 12 3 2 4 3 3" xfId="22807" xr:uid="{83887FAC-736C-498D-A854-1BDFF5AD4D8B}"/>
    <cellStyle name="Normal 12 3 2 4 4" xfId="10142" xr:uid="{9F7F2271-44EE-4C01-BB12-A42202C01BBE}"/>
    <cellStyle name="Normal 12 3 2 4 5" xfId="18590" xr:uid="{9F5455B2-B54E-4AC1-B8CA-87C5CCE3C7AC}"/>
    <cellStyle name="Normal 12 3 2 5" xfId="2017" xr:uid="{00000000-0005-0000-0000-00002B0E0000}"/>
    <cellStyle name="Normal 12 3 2 5 2" xfId="4246" xr:uid="{00000000-0005-0000-0000-00002C0E0000}"/>
    <cellStyle name="Normal 12 3 2 5 2 2" xfId="8468" xr:uid="{00000000-0005-0000-0000-00002D0E0000}"/>
    <cellStyle name="Normal 12 3 2 5 2 2 2" xfId="16918" xr:uid="{BBAA00E0-9BD8-4627-A451-16E5A92E8603}"/>
    <cellStyle name="Normal 12 3 2 5 2 2 3" xfId="25365" xr:uid="{96896D1D-CFCE-4D9D-948F-58E841DD1FC7}"/>
    <cellStyle name="Normal 12 3 2 5 2 3" xfId="12700" xr:uid="{A11E9BAA-BBE6-4531-AD71-D91CD0D2062B}"/>
    <cellStyle name="Normal 12 3 2 5 2 4" xfId="21148" xr:uid="{B9299AD0-FF0C-47FA-8E4A-70FEA3984472}"/>
    <cellStyle name="Normal 12 3 2 5 3" xfId="6323" xr:uid="{00000000-0005-0000-0000-00002E0E0000}"/>
    <cellStyle name="Normal 12 3 2 5 3 2" xfId="14773" xr:uid="{3EF99E56-2CC2-49DE-9C2B-B68368053178}"/>
    <cellStyle name="Normal 12 3 2 5 3 3" xfId="23220" xr:uid="{D099AC4A-19EE-4F7F-957A-690A9E487029}"/>
    <cellStyle name="Normal 12 3 2 5 4" xfId="10555" xr:uid="{5A217663-FF2A-4B40-AEAE-A4109A92DEB4}"/>
    <cellStyle name="Normal 12 3 2 5 5" xfId="19003" xr:uid="{162F8958-341C-4D12-9AA5-722680E5C4BA}"/>
    <cellStyle name="Normal 12 3 2 6" xfId="2453" xr:uid="{00000000-0005-0000-0000-00002F0E0000}"/>
    <cellStyle name="Normal 12 3 2 6 2" xfId="6736" xr:uid="{00000000-0005-0000-0000-0000300E0000}"/>
    <cellStyle name="Normal 12 3 2 6 2 2" xfId="15186" xr:uid="{F7A4AB24-F512-448E-896E-F15421A27722}"/>
    <cellStyle name="Normal 12 3 2 6 2 3" xfId="23633" xr:uid="{486B0A27-752C-4107-97FF-E060C1D7F840}"/>
    <cellStyle name="Normal 12 3 2 6 3" xfId="10968" xr:uid="{70559EDF-D890-420C-A19C-629FC169785C}"/>
    <cellStyle name="Normal 12 3 2 6 4" xfId="19416" xr:uid="{926F123D-EC74-4E5C-93ED-85EF1DD2146E}"/>
    <cellStyle name="Normal 12 3 2 7" xfId="4670" xr:uid="{00000000-0005-0000-0000-0000310E0000}"/>
    <cellStyle name="Normal 12 3 2 7 2" xfId="13120" xr:uid="{ED17F785-5184-4A04-AE2D-A1193E175977}"/>
    <cellStyle name="Normal 12 3 2 7 3" xfId="21567" xr:uid="{06C27691-A031-4A12-A631-6CF13F12A856}"/>
    <cellStyle name="Normal 12 3 2 8" xfId="8902" xr:uid="{3326BDF0-6B37-4513-90C0-2FBAF64A47B7}"/>
    <cellStyle name="Normal 12 3 2 9" xfId="17350" xr:uid="{95A9C684-D552-4A7B-BEB6-E238164180E7}"/>
    <cellStyle name="Normal 12 3 3" xfId="765" xr:uid="{00000000-0005-0000-0000-0000320E0000}"/>
    <cellStyle name="Normal 12 3 3 2" xfId="3006" xr:uid="{00000000-0005-0000-0000-0000330E0000}"/>
    <cellStyle name="Normal 12 3 3 2 2" xfId="7228" xr:uid="{00000000-0005-0000-0000-0000340E0000}"/>
    <cellStyle name="Normal 12 3 3 2 2 2" xfId="15678" xr:uid="{A89E68FF-04F2-4A4B-A9DE-0F722709AB80}"/>
    <cellStyle name="Normal 12 3 3 2 2 3" xfId="24125" xr:uid="{0416B6E1-1B97-42E4-B37F-572901909DE2}"/>
    <cellStyle name="Normal 12 3 3 2 3" xfId="11460" xr:uid="{DAF5AB34-A1AD-4120-82CA-04E6E2828C81}"/>
    <cellStyle name="Normal 12 3 3 2 4" xfId="19908" xr:uid="{CB65441D-2DDD-445C-AAB2-5C6D3867A452}"/>
    <cellStyle name="Normal 12 3 3 3" xfId="5083" xr:uid="{00000000-0005-0000-0000-0000350E0000}"/>
    <cellStyle name="Normal 12 3 3 3 2" xfId="13533" xr:uid="{B8343D30-BA28-41C7-B0DB-9AB259709035}"/>
    <cellStyle name="Normal 12 3 3 3 3" xfId="21980" xr:uid="{4F9DBEAB-1736-41A2-A401-DDA654A7DB5C}"/>
    <cellStyle name="Normal 12 3 3 4" xfId="9315" xr:uid="{E934865A-27E7-4EE3-AFDC-CA51BCF23481}"/>
    <cellStyle name="Normal 12 3 3 5" xfId="17763" xr:uid="{AAF1C742-7420-4000-B20C-0BE426E920DF}"/>
    <cellStyle name="Normal 12 3 4" xfId="1188" xr:uid="{00000000-0005-0000-0000-0000360E0000}"/>
    <cellStyle name="Normal 12 3 4 2" xfId="3419" xr:uid="{00000000-0005-0000-0000-0000370E0000}"/>
    <cellStyle name="Normal 12 3 4 2 2" xfId="7641" xr:uid="{00000000-0005-0000-0000-0000380E0000}"/>
    <cellStyle name="Normal 12 3 4 2 2 2" xfId="16091" xr:uid="{73EEAE78-EC8E-42E7-B432-1EDD5C2EE2E2}"/>
    <cellStyle name="Normal 12 3 4 2 2 3" xfId="24538" xr:uid="{C4D6355A-1436-490D-82A0-D22AFCC6F5C5}"/>
    <cellStyle name="Normal 12 3 4 2 3" xfId="11873" xr:uid="{E5474EB2-3187-4A64-BA08-5118F18B67A5}"/>
    <cellStyle name="Normal 12 3 4 2 4" xfId="20321" xr:uid="{CC471F45-E3DE-4CA0-86B3-D42F708A9A65}"/>
    <cellStyle name="Normal 12 3 4 3" xfId="5496" xr:uid="{00000000-0005-0000-0000-0000390E0000}"/>
    <cellStyle name="Normal 12 3 4 3 2" xfId="13946" xr:uid="{0F5511C3-52AA-4C3A-A1E1-BBAF96141B7E}"/>
    <cellStyle name="Normal 12 3 4 3 3" xfId="22393" xr:uid="{57C76D47-B8DA-4C08-A815-094561848220}"/>
    <cellStyle name="Normal 12 3 4 4" xfId="9728" xr:uid="{FFD7061A-46D5-49A7-B5F3-92442158C4ED}"/>
    <cellStyle name="Normal 12 3 4 5" xfId="18176" xr:uid="{79FE63F6-843D-45FC-8CD6-1C2798F83B08}"/>
    <cellStyle name="Normal 12 3 5" xfId="1602" xr:uid="{00000000-0005-0000-0000-00003A0E0000}"/>
    <cellStyle name="Normal 12 3 5 2" xfId="3832" xr:uid="{00000000-0005-0000-0000-00003B0E0000}"/>
    <cellStyle name="Normal 12 3 5 2 2" xfId="8054" xr:uid="{00000000-0005-0000-0000-00003C0E0000}"/>
    <cellStyle name="Normal 12 3 5 2 2 2" xfId="16504" xr:uid="{92EB4D09-DA5F-45B3-8816-08EF37659EF0}"/>
    <cellStyle name="Normal 12 3 5 2 2 3" xfId="24951" xr:uid="{60B9E679-06AB-4E69-9A52-F9D97EAE0DAD}"/>
    <cellStyle name="Normal 12 3 5 2 3" xfId="12286" xr:uid="{28DBADE5-6340-4DBB-853B-38F51D0D5E0A}"/>
    <cellStyle name="Normal 12 3 5 2 4" xfId="20734" xr:uid="{89ED8A1F-64B0-4903-A26A-E904A9344C18}"/>
    <cellStyle name="Normal 12 3 5 3" xfId="5909" xr:uid="{00000000-0005-0000-0000-00003D0E0000}"/>
    <cellStyle name="Normal 12 3 5 3 2" xfId="14359" xr:uid="{1D45C5CE-96E1-4C5E-ABA5-2150F43BFB64}"/>
    <cellStyle name="Normal 12 3 5 3 3" xfId="22806" xr:uid="{59CDB6D8-D7A9-4143-AC9D-1C0EDC5A3026}"/>
    <cellStyle name="Normal 12 3 5 4" xfId="10141" xr:uid="{A45F1D6F-8957-4C90-A9BF-8F7876A77044}"/>
    <cellStyle name="Normal 12 3 5 5" xfId="18589" xr:uid="{1041A91C-0293-47A5-9781-CC1BC52D2489}"/>
    <cellStyle name="Normal 12 3 6" xfId="2016" xr:uid="{00000000-0005-0000-0000-00003E0E0000}"/>
    <cellStyle name="Normal 12 3 6 2" xfId="4245" xr:uid="{00000000-0005-0000-0000-00003F0E0000}"/>
    <cellStyle name="Normal 12 3 6 2 2" xfId="8467" xr:uid="{00000000-0005-0000-0000-0000400E0000}"/>
    <cellStyle name="Normal 12 3 6 2 2 2" xfId="16917" xr:uid="{2BBE6D7E-6908-426A-B59D-606391A62DC5}"/>
    <cellStyle name="Normal 12 3 6 2 2 3" xfId="25364" xr:uid="{042DA894-5278-4858-8B5A-90AC6919AAD2}"/>
    <cellStyle name="Normal 12 3 6 2 3" xfId="12699" xr:uid="{75ECD8A8-363A-4EF2-A3AD-30E1EEEEDDA9}"/>
    <cellStyle name="Normal 12 3 6 2 4" xfId="21147" xr:uid="{6C557CF6-FA6E-415C-A6E8-C482247EA3C5}"/>
    <cellStyle name="Normal 12 3 6 3" xfId="6322" xr:uid="{00000000-0005-0000-0000-0000410E0000}"/>
    <cellStyle name="Normal 12 3 6 3 2" xfId="14772" xr:uid="{EF7798A0-5212-406D-93F0-AC5169F57C03}"/>
    <cellStyle name="Normal 12 3 6 3 3" xfId="23219" xr:uid="{05764B9D-7672-4800-BBD2-B7C66FF379CE}"/>
    <cellStyle name="Normal 12 3 6 4" xfId="10554" xr:uid="{FBC5DE1E-75C0-4A1C-9E4A-608EB61E8705}"/>
    <cellStyle name="Normal 12 3 6 5" xfId="19002" xr:uid="{8CA2AAC1-7959-4103-9854-A5F7F19B398F}"/>
    <cellStyle name="Normal 12 3 7" xfId="2452" xr:uid="{00000000-0005-0000-0000-0000420E0000}"/>
    <cellStyle name="Normal 12 3 7 2" xfId="6735" xr:uid="{00000000-0005-0000-0000-0000430E0000}"/>
    <cellStyle name="Normal 12 3 7 2 2" xfId="15185" xr:uid="{C7E4717A-3829-40BF-BBB6-7DB4548D8319}"/>
    <cellStyle name="Normal 12 3 7 2 3" xfId="23632" xr:uid="{D8EE5474-32CA-4C80-A4C8-0F8AE5CD57AA}"/>
    <cellStyle name="Normal 12 3 7 3" xfId="10967" xr:uid="{D0F709CF-EC5C-4359-A0B0-90221E97BD3E}"/>
    <cellStyle name="Normal 12 3 7 4" xfId="19415" xr:uid="{A0144727-F5F2-4148-BD7B-653FE7DBD9A6}"/>
    <cellStyle name="Normal 12 3 8" xfId="4669" xr:uid="{00000000-0005-0000-0000-0000440E0000}"/>
    <cellStyle name="Normal 12 3 8 2" xfId="13119" xr:uid="{3C48F961-A577-4152-9260-56F04D7945E3}"/>
    <cellStyle name="Normal 12 3 8 3" xfId="21566" xr:uid="{211F3483-6B75-4902-9202-F21EFCF53EBD}"/>
    <cellStyle name="Normal 12 3 9" xfId="8901" xr:uid="{D1DD34FD-6988-452B-A55A-A23A4F01858D}"/>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2 2 2" xfId="15680" xr:uid="{B359BB4C-D0E0-4EDB-9468-16EE145416C1}"/>
    <cellStyle name="Normal 12 4 2 2 2 3" xfId="24127" xr:uid="{48EF4523-F320-40BA-BB32-79BBE57D6C2E}"/>
    <cellStyle name="Normal 12 4 2 2 3" xfId="11462" xr:uid="{3F438D63-20FE-4F37-AE8F-6B9A581684E8}"/>
    <cellStyle name="Normal 12 4 2 2 4" xfId="19910" xr:uid="{152E93AA-B531-4346-A490-3091E5FF93CE}"/>
    <cellStyle name="Normal 12 4 2 3" xfId="5085" xr:uid="{00000000-0005-0000-0000-0000490E0000}"/>
    <cellStyle name="Normal 12 4 2 3 2" xfId="13535" xr:uid="{FC7DA2A5-4BF0-4A36-A5BF-4AAB5A2AFD9B}"/>
    <cellStyle name="Normal 12 4 2 3 3" xfId="21982" xr:uid="{A717195B-D443-45A7-8921-EA31F7A53A6A}"/>
    <cellStyle name="Normal 12 4 2 4" xfId="9317" xr:uid="{4C340C5C-5117-4C40-AD91-55D6C4FA3096}"/>
    <cellStyle name="Normal 12 4 2 5" xfId="17765" xr:uid="{FB64C144-081D-42B3-9464-6C0EE4982EED}"/>
    <cellStyle name="Normal 12 4 3" xfId="1190" xr:uid="{00000000-0005-0000-0000-00004A0E0000}"/>
    <cellStyle name="Normal 12 4 3 2" xfId="3421" xr:uid="{00000000-0005-0000-0000-00004B0E0000}"/>
    <cellStyle name="Normal 12 4 3 2 2" xfId="7643" xr:uid="{00000000-0005-0000-0000-00004C0E0000}"/>
    <cellStyle name="Normal 12 4 3 2 2 2" xfId="16093" xr:uid="{032A835D-D131-44D4-AAFA-3AD05CA493F6}"/>
    <cellStyle name="Normal 12 4 3 2 2 3" xfId="24540" xr:uid="{2E462DA4-C895-4BD2-9DCC-67765463FBFD}"/>
    <cellStyle name="Normal 12 4 3 2 3" xfId="11875" xr:uid="{9D325272-DB02-417D-9DE9-92431836E763}"/>
    <cellStyle name="Normal 12 4 3 2 4" xfId="20323" xr:uid="{A4264CAD-76AB-4AB1-9C7A-E899AEB66FFD}"/>
    <cellStyle name="Normal 12 4 3 3" xfId="5498" xr:uid="{00000000-0005-0000-0000-00004D0E0000}"/>
    <cellStyle name="Normal 12 4 3 3 2" xfId="13948" xr:uid="{6AD8FCFF-B471-44F6-B025-50D5847E099B}"/>
    <cellStyle name="Normal 12 4 3 3 3" xfId="22395" xr:uid="{EEAC5192-D5D7-4C8F-B7DB-EA92A866D20D}"/>
    <cellStyle name="Normal 12 4 3 4" xfId="9730" xr:uid="{B97788C6-D557-47CF-848C-E4D94275AE85}"/>
    <cellStyle name="Normal 12 4 3 5" xfId="18178" xr:uid="{C48A560E-8886-4579-B68F-E9F99D963DB4}"/>
    <cellStyle name="Normal 12 4 4" xfId="1604" xr:uid="{00000000-0005-0000-0000-00004E0E0000}"/>
    <cellStyle name="Normal 12 4 4 2" xfId="3834" xr:uid="{00000000-0005-0000-0000-00004F0E0000}"/>
    <cellStyle name="Normal 12 4 4 2 2" xfId="8056" xr:uid="{00000000-0005-0000-0000-0000500E0000}"/>
    <cellStyle name="Normal 12 4 4 2 2 2" xfId="16506" xr:uid="{6BA0E2E6-FD0C-4DE0-8F83-259142C03C4D}"/>
    <cellStyle name="Normal 12 4 4 2 2 3" xfId="24953" xr:uid="{1D8DAC26-359D-4B52-820F-39FBB2D36868}"/>
    <cellStyle name="Normal 12 4 4 2 3" xfId="12288" xr:uid="{C4B83643-9C94-4DE2-BEBA-430F0B937FC5}"/>
    <cellStyle name="Normal 12 4 4 2 4" xfId="20736" xr:uid="{454AFC6E-CCDB-49BA-ADB8-49C08F9F706C}"/>
    <cellStyle name="Normal 12 4 4 3" xfId="5911" xr:uid="{00000000-0005-0000-0000-0000510E0000}"/>
    <cellStyle name="Normal 12 4 4 3 2" xfId="14361" xr:uid="{3CAA4EAE-033A-480E-B7D7-580CEB903510}"/>
    <cellStyle name="Normal 12 4 4 3 3" xfId="22808" xr:uid="{5ABA1BAF-540E-40BD-AC2A-552FBB3ABB16}"/>
    <cellStyle name="Normal 12 4 4 4" xfId="10143" xr:uid="{BDFBD38E-51D1-4859-BF0A-ACC766060F1C}"/>
    <cellStyle name="Normal 12 4 4 5" xfId="18591" xr:uid="{CF47811C-1704-4013-A986-2B0A1BCE9B82}"/>
    <cellStyle name="Normal 12 4 5" xfId="2018" xr:uid="{00000000-0005-0000-0000-0000520E0000}"/>
    <cellStyle name="Normal 12 4 5 2" xfId="4247" xr:uid="{00000000-0005-0000-0000-0000530E0000}"/>
    <cellStyle name="Normal 12 4 5 2 2" xfId="8469" xr:uid="{00000000-0005-0000-0000-0000540E0000}"/>
    <cellStyle name="Normal 12 4 5 2 2 2" xfId="16919" xr:uid="{0E4866A8-D6E8-46CF-82F0-6851697B3332}"/>
    <cellStyle name="Normal 12 4 5 2 2 3" xfId="25366" xr:uid="{8CDD54FB-A27B-493D-BFFA-AF456C5D7B47}"/>
    <cellStyle name="Normal 12 4 5 2 3" xfId="12701" xr:uid="{B5CFCC55-C3E8-4BC0-A128-DCF069F2508D}"/>
    <cellStyle name="Normal 12 4 5 2 4" xfId="21149" xr:uid="{864C9C82-6561-40F5-825A-8D556EFDE3F2}"/>
    <cellStyle name="Normal 12 4 5 3" xfId="6324" xr:uid="{00000000-0005-0000-0000-0000550E0000}"/>
    <cellStyle name="Normal 12 4 5 3 2" xfId="14774" xr:uid="{097A246B-A4DB-4532-81E6-8CFBC84D92E9}"/>
    <cellStyle name="Normal 12 4 5 3 3" xfId="23221" xr:uid="{267A4537-FF30-42B8-9272-4803517B367C}"/>
    <cellStyle name="Normal 12 4 5 4" xfId="10556" xr:uid="{B1EDFB3B-6F24-4255-A250-57E853577B58}"/>
    <cellStyle name="Normal 12 4 5 5" xfId="19004" xr:uid="{D2C66F9B-6B97-4094-A60E-D0CD6B6CE7CC}"/>
    <cellStyle name="Normal 12 4 6" xfId="2454" xr:uid="{00000000-0005-0000-0000-0000560E0000}"/>
    <cellStyle name="Normal 12 4 6 2" xfId="6737" xr:uid="{00000000-0005-0000-0000-0000570E0000}"/>
    <cellStyle name="Normal 12 4 6 2 2" xfId="15187" xr:uid="{95A948CD-F173-4392-81EF-4FDCF0378B94}"/>
    <cellStyle name="Normal 12 4 6 2 3" xfId="23634" xr:uid="{4479FC74-5646-47B2-A893-0C5C5E0D90BB}"/>
    <cellStyle name="Normal 12 4 6 3" xfId="10969" xr:uid="{CB359CA9-75D7-4E3E-A944-B34E6E66B219}"/>
    <cellStyle name="Normal 12 4 6 4" xfId="19417" xr:uid="{EBD0FA8A-8D83-497A-9620-A245557F8CF8}"/>
    <cellStyle name="Normal 12 4 7" xfId="4671" xr:uid="{00000000-0005-0000-0000-0000580E0000}"/>
    <cellStyle name="Normal 12 4 7 2" xfId="13121" xr:uid="{3A8C8981-B3DC-4E89-9531-FE07E3B82BAC}"/>
    <cellStyle name="Normal 12 4 7 3" xfId="21568" xr:uid="{7F85EE3C-1278-4962-AF6B-D2ABE0B79BC3}"/>
    <cellStyle name="Normal 12 4 8" xfId="8903" xr:uid="{7E5FAE37-D594-493A-8B11-CEF43D70DBC7}"/>
    <cellStyle name="Normal 12 4 9" xfId="17351" xr:uid="{46784DFE-6C8C-40D1-80FE-35C8957147C7}"/>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2 2 2" xfId="15673" xr:uid="{2E00D9EA-8333-4FBF-9A8B-07F580452E2E}"/>
    <cellStyle name="Normal 12 6 2 2 3" xfId="24120" xr:uid="{B57B56EF-C2D2-428D-BBDF-29A87758871B}"/>
    <cellStyle name="Normal 12 6 2 3" xfId="11455" xr:uid="{981ACD25-B3C9-4D9B-A2F4-AD3381013529}"/>
    <cellStyle name="Normal 12 6 2 4" xfId="19903" xr:uid="{F48ED84F-AFF4-4CC4-A195-6B9AEB97EC43}"/>
    <cellStyle name="Normal 12 6 3" xfId="5078" xr:uid="{00000000-0005-0000-0000-00005D0E0000}"/>
    <cellStyle name="Normal 12 6 3 2" xfId="13528" xr:uid="{4DFE16AC-8868-469B-B9DB-8292D05755E9}"/>
    <cellStyle name="Normal 12 6 3 3" xfId="21975" xr:uid="{6E0D1368-50C1-4E2E-8F01-C9DC46FB1AD0}"/>
    <cellStyle name="Normal 12 6 4" xfId="9310" xr:uid="{AA5BFE91-D07C-480E-B646-8A12B8C936DD}"/>
    <cellStyle name="Normal 12 6 5" xfId="17758" xr:uid="{8F303AAA-169A-489A-BA2F-87F84FD049B2}"/>
    <cellStyle name="Normal 12 7" xfId="1183" xr:uid="{00000000-0005-0000-0000-00005E0E0000}"/>
    <cellStyle name="Normal 12 7 2" xfId="3414" xr:uid="{00000000-0005-0000-0000-00005F0E0000}"/>
    <cellStyle name="Normal 12 7 2 2" xfId="7636" xr:uid="{00000000-0005-0000-0000-0000600E0000}"/>
    <cellStyle name="Normal 12 7 2 2 2" xfId="16086" xr:uid="{356CA464-87D7-4C0D-8D5F-0BB973CEE2DE}"/>
    <cellStyle name="Normal 12 7 2 2 3" xfId="24533" xr:uid="{067E4642-8DAD-4C9A-81EC-EA3D670FDFE5}"/>
    <cellStyle name="Normal 12 7 2 3" xfId="11868" xr:uid="{9AF384D3-93A7-4776-BEF5-62232D66A516}"/>
    <cellStyle name="Normal 12 7 2 4" xfId="20316" xr:uid="{BB38F02C-4AA9-4BBF-8790-154985CCAF42}"/>
    <cellStyle name="Normal 12 7 3" xfId="5491" xr:uid="{00000000-0005-0000-0000-0000610E0000}"/>
    <cellStyle name="Normal 12 7 3 2" xfId="13941" xr:uid="{BED01AE2-8153-4C90-8627-87F11526064B}"/>
    <cellStyle name="Normal 12 7 3 3" xfId="22388" xr:uid="{9BEEA360-4A8C-4852-A660-43E9853F46AD}"/>
    <cellStyle name="Normal 12 7 4" xfId="9723" xr:uid="{C1AEE0B5-D54E-446D-AB94-76768CD4ED15}"/>
    <cellStyle name="Normal 12 7 5" xfId="18171" xr:uid="{A6B9BC07-12A5-4C9E-B3C3-3AB8F9223D55}"/>
    <cellStyle name="Normal 12 8" xfId="1597" xr:uid="{00000000-0005-0000-0000-0000620E0000}"/>
    <cellStyle name="Normal 12 8 2" xfId="3827" xr:uid="{00000000-0005-0000-0000-0000630E0000}"/>
    <cellStyle name="Normal 12 8 2 2" xfId="8049" xr:uid="{00000000-0005-0000-0000-0000640E0000}"/>
    <cellStyle name="Normal 12 8 2 2 2" xfId="16499" xr:uid="{57B3A75C-73DC-4262-BAE2-89EDA07EC2F2}"/>
    <cellStyle name="Normal 12 8 2 2 3" xfId="24946" xr:uid="{7AC55CB6-6E52-4F8A-BEFD-FDFF53EC7E0C}"/>
    <cellStyle name="Normal 12 8 2 3" xfId="12281" xr:uid="{B089881A-7334-41D6-A283-3A7FB0C5A450}"/>
    <cellStyle name="Normal 12 8 2 4" xfId="20729" xr:uid="{7FDF8202-D477-40E0-A613-9747A7C35E60}"/>
    <cellStyle name="Normal 12 8 3" xfId="5904" xr:uid="{00000000-0005-0000-0000-0000650E0000}"/>
    <cellStyle name="Normal 12 8 3 2" xfId="14354" xr:uid="{BA702F0B-A3F7-4CAD-A040-AF78E1E6DF2E}"/>
    <cellStyle name="Normal 12 8 3 3" xfId="22801" xr:uid="{824474E5-27EE-4627-848A-587B59076E58}"/>
    <cellStyle name="Normal 12 8 4" xfId="10136" xr:uid="{E3CC0B90-C23A-4144-8E7A-F60D8D17E41A}"/>
    <cellStyle name="Normal 12 8 5" xfId="18584" xr:uid="{40208B8A-1823-45B6-9BA3-77FFDAFF97EA}"/>
    <cellStyle name="Normal 12 9" xfId="2011" xr:uid="{00000000-0005-0000-0000-0000660E0000}"/>
    <cellStyle name="Normal 12 9 2" xfId="4240" xr:uid="{00000000-0005-0000-0000-0000670E0000}"/>
    <cellStyle name="Normal 12 9 2 2" xfId="8462" xr:uid="{00000000-0005-0000-0000-0000680E0000}"/>
    <cellStyle name="Normal 12 9 2 2 2" xfId="16912" xr:uid="{7A06AA5F-A50C-4C63-9E04-9F62BC3DEA9E}"/>
    <cellStyle name="Normal 12 9 2 2 3" xfId="25359" xr:uid="{9CF465FE-FABD-4833-8BD4-9DA8DAC986CC}"/>
    <cellStyle name="Normal 12 9 2 3" xfId="12694" xr:uid="{5F732763-3584-4646-8C46-8FCFB34DF625}"/>
    <cellStyle name="Normal 12 9 2 4" xfId="21142" xr:uid="{7FE17006-D700-4204-A949-183302E8758A}"/>
    <cellStyle name="Normal 12 9 3" xfId="6317" xr:uid="{00000000-0005-0000-0000-0000690E0000}"/>
    <cellStyle name="Normal 12 9 3 2" xfId="14767" xr:uid="{42C98C51-38E7-47BB-B42A-354C8BE1C58B}"/>
    <cellStyle name="Normal 12 9 3 3" xfId="23214" xr:uid="{36E07F9C-98AA-4EFD-A82D-F4BAF4569CB4}"/>
    <cellStyle name="Normal 12 9 4" xfId="10549" xr:uid="{D33233A9-9278-41B9-AB52-7E6D707AF238}"/>
    <cellStyle name="Normal 12 9 5" xfId="18997" xr:uid="{CC2068D4-9412-45FF-876D-155540DB2951}"/>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2 2 2" xfId="15681" xr:uid="{814CC2B7-C752-43DE-919D-43EDE67D66C7}"/>
    <cellStyle name="Normal 14 2 2 2 3" xfId="24128" xr:uid="{947E38A9-4E53-4A8E-9463-7F8FC861CFD1}"/>
    <cellStyle name="Normal 14 2 2 3" xfId="11463" xr:uid="{529D4575-C094-4E4B-A51D-BF417FD12DF9}"/>
    <cellStyle name="Normal 14 2 2 4" xfId="19911" xr:uid="{96CFCC49-C51E-4EEC-B400-191AF7D1E61F}"/>
    <cellStyle name="Normal 14 2 3" xfId="5086" xr:uid="{00000000-0005-0000-0000-0000700E0000}"/>
    <cellStyle name="Normal 14 2 3 2" xfId="13536" xr:uid="{FA87E0D2-01D3-4D42-8E73-0D584C2CFB66}"/>
    <cellStyle name="Normal 14 2 3 3" xfId="21983" xr:uid="{FEDA3C72-D75B-45BC-92D6-03947048D209}"/>
    <cellStyle name="Normal 14 2 4" xfId="9318" xr:uid="{6DE44B92-09C4-491D-A823-03EBE4DF72EE}"/>
    <cellStyle name="Normal 14 2 5" xfId="17766" xr:uid="{23E46330-B6D3-4894-A7F0-B725083AA6AA}"/>
    <cellStyle name="Normal 14 3" xfId="1191" xr:uid="{00000000-0005-0000-0000-0000710E0000}"/>
    <cellStyle name="Normal 14 3 2" xfId="3422" xr:uid="{00000000-0005-0000-0000-0000720E0000}"/>
    <cellStyle name="Normal 14 3 2 2" xfId="7644" xr:uid="{00000000-0005-0000-0000-0000730E0000}"/>
    <cellStyle name="Normal 14 3 2 2 2" xfId="16094" xr:uid="{E2EE1289-7ECC-47D0-85E3-C8871F8F0C75}"/>
    <cellStyle name="Normal 14 3 2 2 3" xfId="24541" xr:uid="{C61193BC-443C-4C32-97CE-BF8DEDC7E300}"/>
    <cellStyle name="Normal 14 3 2 3" xfId="11876" xr:uid="{7D8234D8-083D-4E5B-8383-7B021FC7EEEA}"/>
    <cellStyle name="Normal 14 3 2 4" xfId="20324" xr:uid="{3A9C1CF9-AF8D-4286-A2AC-C28319BC3C58}"/>
    <cellStyle name="Normal 14 3 3" xfId="5499" xr:uid="{00000000-0005-0000-0000-0000740E0000}"/>
    <cellStyle name="Normal 14 3 3 2" xfId="13949" xr:uid="{32DF6B0D-DF08-463D-8BFC-DE843AF13D1E}"/>
    <cellStyle name="Normal 14 3 3 3" xfId="22396" xr:uid="{0E5D90C0-F11D-4D54-8FA6-BDE26221E9D8}"/>
    <cellStyle name="Normal 14 3 4" xfId="9731" xr:uid="{C23D98DB-F0BC-4613-A5F0-0D541B1EC8E1}"/>
    <cellStyle name="Normal 14 3 5" xfId="18179" xr:uid="{C70ECF63-2DC1-40DE-B132-DA1365669E80}"/>
    <cellStyle name="Normal 14 4" xfId="1605" xr:uid="{00000000-0005-0000-0000-0000750E0000}"/>
    <cellStyle name="Normal 14 4 2" xfId="3835" xr:uid="{00000000-0005-0000-0000-0000760E0000}"/>
    <cellStyle name="Normal 14 4 2 2" xfId="8057" xr:uid="{00000000-0005-0000-0000-0000770E0000}"/>
    <cellStyle name="Normal 14 4 2 2 2" xfId="16507" xr:uid="{6C93C44B-8F91-4A68-8E0A-AB87D7EA2E31}"/>
    <cellStyle name="Normal 14 4 2 2 3" xfId="24954" xr:uid="{1AFAB069-0F8F-4DCF-8537-37E963947093}"/>
    <cellStyle name="Normal 14 4 2 3" xfId="12289" xr:uid="{C316AB58-9BAF-4754-8DC1-BC2EA5CC58D8}"/>
    <cellStyle name="Normal 14 4 2 4" xfId="20737" xr:uid="{D1C8A582-D1A9-4D4A-A3FA-0BD9F78844BB}"/>
    <cellStyle name="Normal 14 4 3" xfId="5912" xr:uid="{00000000-0005-0000-0000-0000780E0000}"/>
    <cellStyle name="Normal 14 4 3 2" xfId="14362" xr:uid="{AC22CC8D-57FB-43C1-AC37-C5905D812917}"/>
    <cellStyle name="Normal 14 4 3 3" xfId="22809" xr:uid="{246E0B68-E488-4623-B258-907F5C66C440}"/>
    <cellStyle name="Normal 14 4 4" xfId="10144" xr:uid="{6F324A2C-5257-4FC8-B1A4-E597D710A184}"/>
    <cellStyle name="Normal 14 4 5" xfId="18592" xr:uid="{6E1A03A4-FAD8-4397-B9ED-9ACD05BF722D}"/>
    <cellStyle name="Normal 14 5" xfId="2019" xr:uid="{00000000-0005-0000-0000-0000790E0000}"/>
    <cellStyle name="Normal 14 5 2" xfId="4248" xr:uid="{00000000-0005-0000-0000-00007A0E0000}"/>
    <cellStyle name="Normal 14 5 2 2" xfId="8470" xr:uid="{00000000-0005-0000-0000-00007B0E0000}"/>
    <cellStyle name="Normal 14 5 2 2 2" xfId="16920" xr:uid="{94389F1F-EFD3-4752-916C-46F6090C3085}"/>
    <cellStyle name="Normal 14 5 2 2 3" xfId="25367" xr:uid="{6FA58B27-18AF-4C9D-8F9A-C0C4FDE218F8}"/>
    <cellStyle name="Normal 14 5 2 3" xfId="12702" xr:uid="{0BC7E4F2-FF74-4C94-A59E-067793F9A1C7}"/>
    <cellStyle name="Normal 14 5 2 4" xfId="21150" xr:uid="{E8295608-7BF1-43A8-A4DA-6CC26EF49094}"/>
    <cellStyle name="Normal 14 5 3" xfId="6325" xr:uid="{00000000-0005-0000-0000-00007C0E0000}"/>
    <cellStyle name="Normal 14 5 3 2" xfId="14775" xr:uid="{8CFC4BE3-8FEC-4746-88FB-6ABC5771D0E0}"/>
    <cellStyle name="Normal 14 5 3 3" xfId="23222" xr:uid="{21B3D244-746F-40BB-AF94-4D48F24B7B25}"/>
    <cellStyle name="Normal 14 5 4" xfId="10557" xr:uid="{2EAEE3D4-794F-4A3D-B041-D464922EAFE1}"/>
    <cellStyle name="Normal 14 5 5" xfId="19005" xr:uid="{6B0D6A15-935E-472C-9B75-063EA4187135}"/>
    <cellStyle name="Normal 14 6" xfId="2455" xr:uid="{00000000-0005-0000-0000-00007D0E0000}"/>
    <cellStyle name="Normal 14 6 2" xfId="6738" xr:uid="{00000000-0005-0000-0000-00007E0E0000}"/>
    <cellStyle name="Normal 14 6 2 2" xfId="15188" xr:uid="{1F50FBFD-F335-41EC-ADFB-CB5CC30A242F}"/>
    <cellStyle name="Normal 14 6 2 3" xfId="23635" xr:uid="{4BE1AD4E-462F-4C44-B477-D4A7DF7E7121}"/>
    <cellStyle name="Normal 14 6 3" xfId="10970" xr:uid="{6E0C2371-2828-4912-B55B-5D21BE0231F5}"/>
    <cellStyle name="Normal 14 6 4" xfId="19418" xr:uid="{EBF49BFD-DE8E-4C75-972F-94280EDF94BC}"/>
    <cellStyle name="Normal 14 7" xfId="4672" xr:uid="{00000000-0005-0000-0000-00007F0E0000}"/>
    <cellStyle name="Normal 14 7 2" xfId="13122" xr:uid="{163E538E-73B6-4525-A034-947C8275A2FA}"/>
    <cellStyle name="Normal 14 7 3" xfId="21569" xr:uid="{379E3B2A-10D6-49C1-B358-28BAF2BBE10D}"/>
    <cellStyle name="Normal 14 8" xfId="8904" xr:uid="{70DF095E-6EF8-4DDE-A2AE-AA3D0FD8C7DF}"/>
    <cellStyle name="Normal 14 9" xfId="17352" xr:uid="{4B86F233-2B72-439A-85C7-9DA82EC5359E}"/>
    <cellStyle name="Normal 15" xfId="4496" xr:uid="{00000000-0005-0000-0000-0000800E0000}"/>
    <cellStyle name="Normal 15 2" xfId="12948" xr:uid="{C3679C64-FCB5-4867-9AFF-6F92B31100E9}"/>
    <cellStyle name="Normal 15 3" xfId="21395" xr:uid="{96B3B322-E649-4940-B923-E54A8BFF5EDB}"/>
    <cellStyle name="Normal 16" xfId="4500" xr:uid="{00000000-0005-0000-0000-0000810E0000}"/>
    <cellStyle name="Normal 16 2" xfId="8715" xr:uid="{00000000-0005-0000-0000-0000820E0000}"/>
    <cellStyle name="Normal 16 2 2" xfId="17165" xr:uid="{2E2ABCFB-81DD-4E06-ACEB-1183ABBC2375}"/>
    <cellStyle name="Normal 16 2 3" xfId="25612" xr:uid="{A573A07B-3419-479E-B97D-13634D60B5ED}"/>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3 2 2 2 2 2" xfId="17181" xr:uid="{E8BC7FCD-5179-4408-901F-20FD7B0EAF54}"/>
    <cellStyle name="Normal 16 3 2 2 2 2 3" xfId="25628" xr:uid="{3223B749-4FD2-4AE0-A86E-2E64EAF6E320}"/>
    <cellStyle name="Normal 16 3 2 2 2 3" xfId="17178" xr:uid="{7AA18DEB-F694-4456-91F6-01E1C2BC8F15}"/>
    <cellStyle name="Normal 16 3 2 2 2 4" xfId="25625" xr:uid="{C5CC3FED-442B-4E0D-BE16-84DA62EE73CA}"/>
    <cellStyle name="Normal 16 3 2 2 3" xfId="17174" xr:uid="{7F22E3DC-3DAF-41D9-8D89-C489B604C875}"/>
    <cellStyle name="Normal 16 3 2 2 4" xfId="25621" xr:uid="{65A465EB-44F5-4293-9FBF-44B3E252135C}"/>
    <cellStyle name="Normal 16 3 2 3" xfId="17171" xr:uid="{A24E3CB0-F0C7-41A1-87EF-169F555CB6A2}"/>
    <cellStyle name="Normal 16 3 2 4" xfId="25618" xr:uid="{C251EB63-E0A2-4A64-AF93-F18E20223E03}"/>
    <cellStyle name="Normal 16 3 3" xfId="17168" xr:uid="{79B138D7-B691-4AAB-AA94-AD1968AC537C}"/>
    <cellStyle name="Normal 16 3 4" xfId="25615" xr:uid="{ADE9133B-5C21-4B43-8924-3E36C51E7BA7}"/>
    <cellStyle name="Normal 16 4" xfId="12951" xr:uid="{177C1D9B-FA9F-4E93-BE7A-D575DC59038D}"/>
    <cellStyle name="Normal 16 5" xfId="21398" xr:uid="{8FA348E1-9F50-43C1-8739-D8EA364D6C98}"/>
    <cellStyle name="Normal 17" xfId="8728" xr:uid="{3FF0972C-833B-4475-99D8-1A6907499E71}"/>
    <cellStyle name="Normal 17 2" xfId="17177" xr:uid="{6FBDD840-7187-42DB-8889-0629E0DA8F92}"/>
    <cellStyle name="Normal 17 3" xfId="25624" xr:uid="{521067B4-3BC1-4738-80FA-40C5E336A475}"/>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2 2 2" xfId="16921" xr:uid="{4F04D9ED-7968-4E91-9BD5-99339C7E5998}"/>
    <cellStyle name="Normal 2 4 2 10 2 2 3" xfId="25368" xr:uid="{DD7D9AF8-77D1-4653-80E1-E918374AF061}"/>
    <cellStyle name="Normal 2 4 2 10 2 3" xfId="12703" xr:uid="{7EFE6630-9CF8-421A-9576-26F5FBD2017B}"/>
    <cellStyle name="Normal 2 4 2 10 2 4" xfId="21151" xr:uid="{3902E9E0-F4B3-49A9-9E7F-03B116025EAC}"/>
    <cellStyle name="Normal 2 4 2 10 3" xfId="6326" xr:uid="{00000000-0005-0000-0000-0000910E0000}"/>
    <cellStyle name="Normal 2 4 2 10 3 2" xfId="14776" xr:uid="{39400652-1552-477B-B5BF-CFF61B577ECE}"/>
    <cellStyle name="Normal 2 4 2 10 3 3" xfId="23223" xr:uid="{F3198ED6-CA84-4E65-BF95-5183592755C6}"/>
    <cellStyle name="Normal 2 4 2 10 4" xfId="10558" xr:uid="{3EDBE36A-AA94-4C34-B086-DCB4944FBF43}"/>
    <cellStyle name="Normal 2 4 2 10 5" xfId="19006" xr:uid="{0CC278C0-525A-4070-9BCA-D0871FF21425}"/>
    <cellStyle name="Normal 2 4 2 11" xfId="2456" xr:uid="{00000000-0005-0000-0000-0000920E0000}"/>
    <cellStyle name="Normal 2 4 2 11 2" xfId="6739" xr:uid="{00000000-0005-0000-0000-0000930E0000}"/>
    <cellStyle name="Normal 2 4 2 11 2 2" xfId="15189" xr:uid="{D9453BA9-30B4-4CD6-889D-0B3B9A509CC3}"/>
    <cellStyle name="Normal 2 4 2 11 2 3" xfId="23636" xr:uid="{0EB6E78A-42A6-4AE9-BEE8-C4422C146615}"/>
    <cellStyle name="Normal 2 4 2 11 3" xfId="10971" xr:uid="{4568E3C6-87B0-4178-8ADC-766E3E5ED18F}"/>
    <cellStyle name="Normal 2 4 2 11 4" xfId="19419" xr:uid="{60F4E46E-44A5-4FBE-BB66-EBB5F4E1EA43}"/>
    <cellStyle name="Normal 2 4 2 12" xfId="4673" xr:uid="{00000000-0005-0000-0000-0000940E0000}"/>
    <cellStyle name="Normal 2 4 2 12 2" xfId="13123" xr:uid="{3BEE91D7-F5EC-498E-A6DD-2A913D2E23B0}"/>
    <cellStyle name="Normal 2 4 2 12 3" xfId="21570" xr:uid="{1EB82822-49C4-4C7E-9C18-93FC85A89428}"/>
    <cellStyle name="Normal 2 4 2 13" xfId="8905" xr:uid="{10F06DA4-F95C-4F7E-8F2C-DD038039337B}"/>
    <cellStyle name="Normal 2 4 2 14" xfId="17353" xr:uid="{2E66CC17-8EC9-422A-B8C4-77AB0A4AA844}"/>
    <cellStyle name="Normal 2 4 2 2" xfId="280" xr:uid="{00000000-0005-0000-0000-0000950E0000}"/>
    <cellStyle name="Normal 2 4 2 3" xfId="281" xr:uid="{00000000-0005-0000-0000-0000960E0000}"/>
    <cellStyle name="Normal 2 4 2 3 10" xfId="4674" xr:uid="{00000000-0005-0000-0000-0000970E0000}"/>
    <cellStyle name="Normal 2 4 2 3 10 2" xfId="13124" xr:uid="{FAEE03B8-07D8-4757-86EB-BB757A972200}"/>
    <cellStyle name="Normal 2 4 2 3 10 3" xfId="21571" xr:uid="{9E0A1B63-C3F1-471A-A289-1ED856EBC6D6}"/>
    <cellStyle name="Normal 2 4 2 3 11" xfId="8906" xr:uid="{7BE6DBA8-FF55-4629-9532-688B0156B34F}"/>
    <cellStyle name="Normal 2 4 2 3 12" xfId="17354" xr:uid="{D3336AD1-C737-4675-B0AB-C4760A6EBF26}"/>
    <cellStyle name="Normal 2 4 2 3 2" xfId="282" xr:uid="{00000000-0005-0000-0000-0000980E0000}"/>
    <cellStyle name="Normal 2 4 2 3 2 10" xfId="8907" xr:uid="{82DDE3C8-7AC4-466F-A949-9B08DBD2D7EE}"/>
    <cellStyle name="Normal 2 4 2 3 2 11" xfId="17355" xr:uid="{C8C45B9E-8410-4837-A202-9BF951E9643B}"/>
    <cellStyle name="Normal 2 4 2 3 2 2" xfId="283" xr:uid="{00000000-0005-0000-0000-0000990E0000}"/>
    <cellStyle name="Normal 2 4 2 3 2 2 10" xfId="17356" xr:uid="{A872814B-A5AB-4000-8393-5943A9CE5ED5}"/>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2 2 2" xfId="15686" xr:uid="{A4B4B884-9D95-4C14-B9A2-77FCE52FCA8F}"/>
    <cellStyle name="Normal 2 4 2 3 2 2 2 2 2 2 3" xfId="24133" xr:uid="{8A56B4F8-9D93-42AA-BBFB-D66DD904A8FA}"/>
    <cellStyle name="Normal 2 4 2 3 2 2 2 2 2 3" xfId="11468" xr:uid="{13C46FC7-0536-4153-9B2A-55288FFE430B}"/>
    <cellStyle name="Normal 2 4 2 3 2 2 2 2 2 4" xfId="19916" xr:uid="{8C5B6CAE-6F86-4A00-97D9-486444DB3417}"/>
    <cellStyle name="Normal 2 4 2 3 2 2 2 2 3" xfId="5091" xr:uid="{00000000-0005-0000-0000-00009E0E0000}"/>
    <cellStyle name="Normal 2 4 2 3 2 2 2 2 3 2" xfId="13541" xr:uid="{1BC4297D-C02F-411D-9D35-7BE7B1D543BE}"/>
    <cellStyle name="Normal 2 4 2 3 2 2 2 2 3 3" xfId="21988" xr:uid="{5D88BCB0-8F28-42B7-A220-8C18AE8CA83D}"/>
    <cellStyle name="Normal 2 4 2 3 2 2 2 2 4" xfId="9323" xr:uid="{64F0FEB3-A1FC-4563-AF5A-200DEB39F4AB}"/>
    <cellStyle name="Normal 2 4 2 3 2 2 2 2 5" xfId="17771" xr:uid="{596D8363-343E-40EA-AA04-0AD673A23F88}"/>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2 2 2" xfId="16099" xr:uid="{A34621C2-464B-475B-82BB-928C04803E6F}"/>
    <cellStyle name="Normal 2 4 2 3 2 2 2 3 2 2 3" xfId="24546" xr:uid="{8B9F4556-2F62-4F6F-9369-18B5BE615DDB}"/>
    <cellStyle name="Normal 2 4 2 3 2 2 2 3 2 3" xfId="11881" xr:uid="{69B5E4D0-4A16-4485-8FAF-0100BBCC9444}"/>
    <cellStyle name="Normal 2 4 2 3 2 2 2 3 2 4" xfId="20329" xr:uid="{47FEEBC5-0554-4B43-8D54-18514F0A6FA0}"/>
    <cellStyle name="Normal 2 4 2 3 2 2 2 3 3" xfId="5504" xr:uid="{00000000-0005-0000-0000-0000A20E0000}"/>
    <cellStyle name="Normal 2 4 2 3 2 2 2 3 3 2" xfId="13954" xr:uid="{38F9DE64-63CD-4321-8C48-014439A4D055}"/>
    <cellStyle name="Normal 2 4 2 3 2 2 2 3 3 3" xfId="22401" xr:uid="{F56EADE6-9161-4C24-AAAD-77671CC8E046}"/>
    <cellStyle name="Normal 2 4 2 3 2 2 2 3 4" xfId="9736" xr:uid="{CA2C163C-5838-42E3-9522-E3C2F58401D1}"/>
    <cellStyle name="Normal 2 4 2 3 2 2 2 3 5" xfId="18184" xr:uid="{70CEE145-9968-4910-ADF4-E49923A11405}"/>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2 2 2" xfId="16512" xr:uid="{8A13825E-4A5F-4B7C-9AEC-A1A5E45FE94E}"/>
    <cellStyle name="Normal 2 4 2 3 2 2 2 4 2 2 3" xfId="24959" xr:uid="{B89B5541-3674-42DF-AD20-898A6342AC2F}"/>
    <cellStyle name="Normal 2 4 2 3 2 2 2 4 2 3" xfId="12294" xr:uid="{B127BE4D-8D20-48BA-A65C-2691B7F56D2E}"/>
    <cellStyle name="Normal 2 4 2 3 2 2 2 4 2 4" xfId="20742" xr:uid="{7D3AA005-D9D5-4A20-8BF4-CC83895D70A5}"/>
    <cellStyle name="Normal 2 4 2 3 2 2 2 4 3" xfId="5917" xr:uid="{00000000-0005-0000-0000-0000A60E0000}"/>
    <cellStyle name="Normal 2 4 2 3 2 2 2 4 3 2" xfId="14367" xr:uid="{0F572932-90DE-47BF-B659-DFFC751F131A}"/>
    <cellStyle name="Normal 2 4 2 3 2 2 2 4 3 3" xfId="22814" xr:uid="{8A1C5350-307B-4253-B6C1-27B50F1BAC23}"/>
    <cellStyle name="Normal 2 4 2 3 2 2 2 4 4" xfId="10149" xr:uid="{39CB2826-1D8B-4AB2-8E65-C1931F7B3162}"/>
    <cellStyle name="Normal 2 4 2 3 2 2 2 4 5" xfId="18597" xr:uid="{15DC0464-B006-4A84-B612-24C7025C8212}"/>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2 2 2" xfId="16925" xr:uid="{59B07292-CAB1-44C0-8220-9F8858E311B8}"/>
    <cellStyle name="Normal 2 4 2 3 2 2 2 5 2 2 3" xfId="25372" xr:uid="{02EA5969-72AA-4BD0-9771-D7D605F8B783}"/>
    <cellStyle name="Normal 2 4 2 3 2 2 2 5 2 3" xfId="12707" xr:uid="{B30A978B-3564-407E-BE77-5C0DE8AE70C1}"/>
    <cellStyle name="Normal 2 4 2 3 2 2 2 5 2 4" xfId="21155" xr:uid="{115DD62D-4329-4D66-B326-F11383ED6D21}"/>
    <cellStyle name="Normal 2 4 2 3 2 2 2 5 3" xfId="6330" xr:uid="{00000000-0005-0000-0000-0000AA0E0000}"/>
    <cellStyle name="Normal 2 4 2 3 2 2 2 5 3 2" xfId="14780" xr:uid="{8C5B323C-CAAD-40C2-A120-3E3FBCA38F4A}"/>
    <cellStyle name="Normal 2 4 2 3 2 2 2 5 3 3" xfId="23227" xr:uid="{40D804D3-A7F9-4FA7-A6AF-35ADAB2997F5}"/>
    <cellStyle name="Normal 2 4 2 3 2 2 2 5 4" xfId="10562" xr:uid="{43A8CCE6-598F-4FD8-AB65-26CD76FFAEE6}"/>
    <cellStyle name="Normal 2 4 2 3 2 2 2 5 5" xfId="19010" xr:uid="{BDED0610-1E93-4971-85B0-6CEB803338E7}"/>
    <cellStyle name="Normal 2 4 2 3 2 2 2 6" xfId="2460" xr:uid="{00000000-0005-0000-0000-0000AB0E0000}"/>
    <cellStyle name="Normal 2 4 2 3 2 2 2 6 2" xfId="6743" xr:uid="{00000000-0005-0000-0000-0000AC0E0000}"/>
    <cellStyle name="Normal 2 4 2 3 2 2 2 6 2 2" xfId="15193" xr:uid="{61BCE6C8-BBFC-4C14-9C40-FEDCB4B8D272}"/>
    <cellStyle name="Normal 2 4 2 3 2 2 2 6 2 3" xfId="23640" xr:uid="{85F0BA1A-4D63-4121-AC07-C7E0B3238DD2}"/>
    <cellStyle name="Normal 2 4 2 3 2 2 2 6 3" xfId="10975" xr:uid="{46C9FBED-0D12-4EC2-A849-42167AAC7CFF}"/>
    <cellStyle name="Normal 2 4 2 3 2 2 2 6 4" xfId="19423" xr:uid="{5381637A-94F3-41D2-9913-F882E9BD8990}"/>
    <cellStyle name="Normal 2 4 2 3 2 2 2 7" xfId="4677" xr:uid="{00000000-0005-0000-0000-0000AD0E0000}"/>
    <cellStyle name="Normal 2 4 2 3 2 2 2 7 2" xfId="13127" xr:uid="{70931756-FCD9-4589-851C-4AF890F598E8}"/>
    <cellStyle name="Normal 2 4 2 3 2 2 2 7 3" xfId="21574" xr:uid="{04A55E64-57B8-4E83-9095-E5263DE98221}"/>
    <cellStyle name="Normal 2 4 2 3 2 2 2 8" xfId="8909" xr:uid="{79C8D749-5EC9-4A36-98AE-08FA91061440}"/>
    <cellStyle name="Normal 2 4 2 3 2 2 2 9" xfId="17357" xr:uid="{8911F24E-A893-4C12-82AD-A5E65F25C697}"/>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2 2 2" xfId="15685" xr:uid="{85B3F808-F61C-4AAA-A279-3A4D6E7C9B10}"/>
    <cellStyle name="Normal 2 4 2 3 2 2 3 2 2 3" xfId="24132" xr:uid="{FC656AF8-F66E-410C-87FB-6E780B85EA1D}"/>
    <cellStyle name="Normal 2 4 2 3 2 2 3 2 3" xfId="11467" xr:uid="{3DA9664E-4B67-4633-96A5-ECE9106C7939}"/>
    <cellStyle name="Normal 2 4 2 3 2 2 3 2 4" xfId="19915" xr:uid="{18EB72FE-A6CB-4BF3-8D60-A03233D38D9E}"/>
    <cellStyle name="Normal 2 4 2 3 2 2 3 3" xfId="5090" xr:uid="{00000000-0005-0000-0000-0000B10E0000}"/>
    <cellStyle name="Normal 2 4 2 3 2 2 3 3 2" xfId="13540" xr:uid="{98E4399A-C9DA-4F01-83DF-218E5E4C4C59}"/>
    <cellStyle name="Normal 2 4 2 3 2 2 3 3 3" xfId="21987" xr:uid="{037F4DFF-7A0D-4696-AE45-A3902A550494}"/>
    <cellStyle name="Normal 2 4 2 3 2 2 3 4" xfId="9322" xr:uid="{3F9DB94B-C955-46D9-995F-6717A885FA9A}"/>
    <cellStyle name="Normal 2 4 2 3 2 2 3 5" xfId="17770" xr:uid="{EA7F00F4-5C76-4F1D-8FCF-7A21FB739B28}"/>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2 2 2" xfId="16098" xr:uid="{7B0BDC79-AACB-4E8C-A1FD-8B41BD44FEA4}"/>
    <cellStyle name="Normal 2 4 2 3 2 2 4 2 2 3" xfId="24545" xr:uid="{CD0C21EB-64AE-4149-8ACD-145B628F2D1D}"/>
    <cellStyle name="Normal 2 4 2 3 2 2 4 2 3" xfId="11880" xr:uid="{BD3B5BC2-E051-4704-B3D0-2F18F57381C9}"/>
    <cellStyle name="Normal 2 4 2 3 2 2 4 2 4" xfId="20328" xr:uid="{ABDA262E-6147-4D37-9DE3-90C6E05CA49A}"/>
    <cellStyle name="Normal 2 4 2 3 2 2 4 3" xfId="5503" xr:uid="{00000000-0005-0000-0000-0000B50E0000}"/>
    <cellStyle name="Normal 2 4 2 3 2 2 4 3 2" xfId="13953" xr:uid="{B95A5F08-762C-4FDD-89A9-12CC0BE9085D}"/>
    <cellStyle name="Normal 2 4 2 3 2 2 4 3 3" xfId="22400" xr:uid="{10F1277F-D363-4116-B5B8-DA4C48B7B121}"/>
    <cellStyle name="Normal 2 4 2 3 2 2 4 4" xfId="9735" xr:uid="{FA300C95-DE4C-4992-98AA-E28C6A44AF70}"/>
    <cellStyle name="Normal 2 4 2 3 2 2 4 5" xfId="18183" xr:uid="{87172CCB-9D02-44E8-A58A-63023974B349}"/>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2 2 2" xfId="16511" xr:uid="{2DCA16FB-7598-4631-929E-3F523E84A8B1}"/>
    <cellStyle name="Normal 2 4 2 3 2 2 5 2 2 3" xfId="24958" xr:uid="{B45BA52D-453D-45AF-9D3F-97578ADC5A50}"/>
    <cellStyle name="Normal 2 4 2 3 2 2 5 2 3" xfId="12293" xr:uid="{3E205D16-6278-4550-90D7-6D56A2A536BA}"/>
    <cellStyle name="Normal 2 4 2 3 2 2 5 2 4" xfId="20741" xr:uid="{BFC3C96E-EE33-4921-9AC6-E2BC349BB57F}"/>
    <cellStyle name="Normal 2 4 2 3 2 2 5 3" xfId="5916" xr:uid="{00000000-0005-0000-0000-0000B90E0000}"/>
    <cellStyle name="Normal 2 4 2 3 2 2 5 3 2" xfId="14366" xr:uid="{BCD922C6-9006-45D9-A30E-8A6C9945E893}"/>
    <cellStyle name="Normal 2 4 2 3 2 2 5 3 3" xfId="22813" xr:uid="{8AD4C4A3-1880-4369-832E-64BE1906E62F}"/>
    <cellStyle name="Normal 2 4 2 3 2 2 5 4" xfId="10148" xr:uid="{3B7D04B3-3173-4F8F-B4AC-5989DEABDDA4}"/>
    <cellStyle name="Normal 2 4 2 3 2 2 5 5" xfId="18596" xr:uid="{7B8A0E62-BAA0-4E59-9A8F-5A314BFADBCD}"/>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2 2 2" xfId="16924" xr:uid="{1A0DD2E4-5A82-4610-A3A6-29B0EC080AA2}"/>
    <cellStyle name="Normal 2 4 2 3 2 2 6 2 2 3" xfId="25371" xr:uid="{D170779D-A6AD-4730-A843-19A0F8AFF851}"/>
    <cellStyle name="Normal 2 4 2 3 2 2 6 2 3" xfId="12706" xr:uid="{F399AD7D-2F89-4A8E-917D-ACF6C6E65B86}"/>
    <cellStyle name="Normal 2 4 2 3 2 2 6 2 4" xfId="21154" xr:uid="{683C8696-92B3-4E9D-AB9D-951AF9978EB7}"/>
    <cellStyle name="Normal 2 4 2 3 2 2 6 3" xfId="6329" xr:uid="{00000000-0005-0000-0000-0000BD0E0000}"/>
    <cellStyle name="Normal 2 4 2 3 2 2 6 3 2" xfId="14779" xr:uid="{FD924CBD-D916-47B3-9AE7-4A2B6695FAA0}"/>
    <cellStyle name="Normal 2 4 2 3 2 2 6 3 3" xfId="23226" xr:uid="{EB4FB6A0-135B-4E48-A7EC-157022C91FB8}"/>
    <cellStyle name="Normal 2 4 2 3 2 2 6 4" xfId="10561" xr:uid="{074DCABB-7E98-49B4-9487-3823B91EA23A}"/>
    <cellStyle name="Normal 2 4 2 3 2 2 6 5" xfId="19009" xr:uid="{B826E815-C3D1-42BA-85A9-65EDB3008D42}"/>
    <cellStyle name="Normal 2 4 2 3 2 2 7" xfId="2459" xr:uid="{00000000-0005-0000-0000-0000BE0E0000}"/>
    <cellStyle name="Normal 2 4 2 3 2 2 7 2" xfId="6742" xr:uid="{00000000-0005-0000-0000-0000BF0E0000}"/>
    <cellStyle name="Normal 2 4 2 3 2 2 7 2 2" xfId="15192" xr:uid="{83DCDDD5-8973-41B3-9C31-8058D8AAECE4}"/>
    <cellStyle name="Normal 2 4 2 3 2 2 7 2 3" xfId="23639" xr:uid="{3FB8B529-AC87-4C7C-983B-4E6ADB587A8B}"/>
    <cellStyle name="Normal 2 4 2 3 2 2 7 3" xfId="10974" xr:uid="{261F6C19-F405-4B40-9CEE-C953B518584E}"/>
    <cellStyle name="Normal 2 4 2 3 2 2 7 4" xfId="19422" xr:uid="{3A1833CC-E24F-4280-A20E-50769DCD475F}"/>
    <cellStyle name="Normal 2 4 2 3 2 2 8" xfId="4676" xr:uid="{00000000-0005-0000-0000-0000C00E0000}"/>
    <cellStyle name="Normal 2 4 2 3 2 2 8 2" xfId="13126" xr:uid="{B3FF23B6-033B-4BD6-B090-2A3E14CC50E7}"/>
    <cellStyle name="Normal 2 4 2 3 2 2 8 3" xfId="21573" xr:uid="{739FB3C6-1008-4B48-B420-972E4EAE2BAD}"/>
    <cellStyle name="Normal 2 4 2 3 2 2 9" xfId="8908" xr:uid="{77071F08-58D3-41B9-A16D-9DE40E6D1C7A}"/>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2 2 2" xfId="15687" xr:uid="{B9120CB9-6086-4C4A-BA56-61C847F73430}"/>
    <cellStyle name="Normal 2 4 2 3 2 3 2 2 2 3" xfId="24134" xr:uid="{48B62396-E644-49F5-B98D-421A9EA69338}"/>
    <cellStyle name="Normal 2 4 2 3 2 3 2 2 3" xfId="11469" xr:uid="{70FF8337-9586-46F8-B713-033A9B8070CD}"/>
    <cellStyle name="Normal 2 4 2 3 2 3 2 2 4" xfId="19917" xr:uid="{56545DED-DAEE-4A6C-A8E3-53DB69A474BC}"/>
    <cellStyle name="Normal 2 4 2 3 2 3 2 3" xfId="5092" xr:uid="{00000000-0005-0000-0000-0000C50E0000}"/>
    <cellStyle name="Normal 2 4 2 3 2 3 2 3 2" xfId="13542" xr:uid="{3DAF3940-5252-49B8-B4FB-0E8C6F44BDAF}"/>
    <cellStyle name="Normal 2 4 2 3 2 3 2 3 3" xfId="21989" xr:uid="{C96660A9-D925-462C-8BE3-FEC330A6B0B8}"/>
    <cellStyle name="Normal 2 4 2 3 2 3 2 4" xfId="9324" xr:uid="{608FE33E-F8E4-48E8-AE28-4EC5A151310E}"/>
    <cellStyle name="Normal 2 4 2 3 2 3 2 5" xfId="17772" xr:uid="{1A51BD1B-BE0B-4908-A5C4-0758777E8DDC}"/>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2 2 2" xfId="16100" xr:uid="{DCE3609D-9327-46F4-B11A-20C133D081B1}"/>
    <cellStyle name="Normal 2 4 2 3 2 3 3 2 2 3" xfId="24547" xr:uid="{E1EA6586-018B-4A89-971D-17F57C9E99D9}"/>
    <cellStyle name="Normal 2 4 2 3 2 3 3 2 3" xfId="11882" xr:uid="{926DDA68-B8FD-408A-AEED-BD1D2604B7E3}"/>
    <cellStyle name="Normal 2 4 2 3 2 3 3 2 4" xfId="20330" xr:uid="{2D36390B-1905-4A17-BCA4-F258B8FC9498}"/>
    <cellStyle name="Normal 2 4 2 3 2 3 3 3" xfId="5505" xr:uid="{00000000-0005-0000-0000-0000C90E0000}"/>
    <cellStyle name="Normal 2 4 2 3 2 3 3 3 2" xfId="13955" xr:uid="{0DA5C42D-D739-4A5A-914E-809A6E1ACBAB}"/>
    <cellStyle name="Normal 2 4 2 3 2 3 3 3 3" xfId="22402" xr:uid="{BD5D4A01-3072-4C95-82EA-369788806862}"/>
    <cellStyle name="Normal 2 4 2 3 2 3 3 4" xfId="9737" xr:uid="{88E9184C-FB6A-4D08-8A6E-4F2B284C58DE}"/>
    <cellStyle name="Normal 2 4 2 3 2 3 3 5" xfId="18185" xr:uid="{C58B58CD-5DB9-4660-BDD2-10ED6F7AA581}"/>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2 2 2" xfId="16513" xr:uid="{96B6FD34-E49F-4302-9E37-95C74075DE66}"/>
    <cellStyle name="Normal 2 4 2 3 2 3 4 2 2 3" xfId="24960" xr:uid="{9458C32A-4009-4B61-A30A-B8E6C724F972}"/>
    <cellStyle name="Normal 2 4 2 3 2 3 4 2 3" xfId="12295" xr:uid="{2ABC1FAF-96FC-4C36-B774-74248AC6EB7D}"/>
    <cellStyle name="Normal 2 4 2 3 2 3 4 2 4" xfId="20743" xr:uid="{679AF913-6410-47C7-A505-E722249AFA87}"/>
    <cellStyle name="Normal 2 4 2 3 2 3 4 3" xfId="5918" xr:uid="{00000000-0005-0000-0000-0000CD0E0000}"/>
    <cellStyle name="Normal 2 4 2 3 2 3 4 3 2" xfId="14368" xr:uid="{50C289D0-24E4-4644-9CDE-4FB2F96996DC}"/>
    <cellStyle name="Normal 2 4 2 3 2 3 4 3 3" xfId="22815" xr:uid="{4808D56B-5F98-49D2-9B44-AC62CE3D6036}"/>
    <cellStyle name="Normal 2 4 2 3 2 3 4 4" xfId="10150" xr:uid="{1AFCD70B-7659-4069-BF26-EE155C7BE6F5}"/>
    <cellStyle name="Normal 2 4 2 3 2 3 4 5" xfId="18598" xr:uid="{ACA8173B-AEEF-414F-9CB6-863738E7FFBC}"/>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2 2 2" xfId="16926" xr:uid="{4BC3F876-7C59-44B4-9AB2-F7AF2F60F67D}"/>
    <cellStyle name="Normal 2 4 2 3 2 3 5 2 2 3" xfId="25373" xr:uid="{58B43C85-75E6-47FB-9D54-6EF06B01FC06}"/>
    <cellStyle name="Normal 2 4 2 3 2 3 5 2 3" xfId="12708" xr:uid="{E13C53EC-11E7-4651-A712-00FB1F57CF25}"/>
    <cellStyle name="Normal 2 4 2 3 2 3 5 2 4" xfId="21156" xr:uid="{BBCE2B65-455D-45A3-BD14-DB4FDC881D79}"/>
    <cellStyle name="Normal 2 4 2 3 2 3 5 3" xfId="6331" xr:uid="{00000000-0005-0000-0000-0000D10E0000}"/>
    <cellStyle name="Normal 2 4 2 3 2 3 5 3 2" xfId="14781" xr:uid="{203D48C7-492E-487C-A1A0-9222DC9DC7E4}"/>
    <cellStyle name="Normal 2 4 2 3 2 3 5 3 3" xfId="23228" xr:uid="{56453774-C649-480B-B8DB-6C6E8D7815DD}"/>
    <cellStyle name="Normal 2 4 2 3 2 3 5 4" xfId="10563" xr:uid="{1D43EC61-9136-473B-9880-FACC8E6278ED}"/>
    <cellStyle name="Normal 2 4 2 3 2 3 5 5" xfId="19011" xr:uid="{4E6A0364-DB52-4570-A495-F19E42A11F4C}"/>
    <cellStyle name="Normal 2 4 2 3 2 3 6" xfId="2461" xr:uid="{00000000-0005-0000-0000-0000D20E0000}"/>
    <cellStyle name="Normal 2 4 2 3 2 3 6 2" xfId="6744" xr:uid="{00000000-0005-0000-0000-0000D30E0000}"/>
    <cellStyle name="Normal 2 4 2 3 2 3 6 2 2" xfId="15194" xr:uid="{07EDBD95-6972-4C6A-9AC9-D8F83BE05DF7}"/>
    <cellStyle name="Normal 2 4 2 3 2 3 6 2 3" xfId="23641" xr:uid="{97641244-9DD8-451D-A810-DDEFE746AE17}"/>
    <cellStyle name="Normal 2 4 2 3 2 3 6 3" xfId="10976" xr:uid="{4E3A2744-7751-4FE2-887F-00A9A9396659}"/>
    <cellStyle name="Normal 2 4 2 3 2 3 6 4" xfId="19424" xr:uid="{8A7F0547-AE7D-4627-B67A-611D7194CDFD}"/>
    <cellStyle name="Normal 2 4 2 3 2 3 7" xfId="4678" xr:uid="{00000000-0005-0000-0000-0000D40E0000}"/>
    <cellStyle name="Normal 2 4 2 3 2 3 7 2" xfId="13128" xr:uid="{0F591D0E-76D6-4801-A781-FDCD494B5F9F}"/>
    <cellStyle name="Normal 2 4 2 3 2 3 7 3" xfId="21575" xr:uid="{E851DB37-0335-44CA-99D7-285F27753A96}"/>
    <cellStyle name="Normal 2 4 2 3 2 3 8" xfId="8910" xr:uid="{3DC7ACED-E8B9-4BF9-9FAD-E3443437E7B7}"/>
    <cellStyle name="Normal 2 4 2 3 2 3 9" xfId="17358" xr:uid="{22C44A56-BDAF-4096-B190-1B0F3D7B4FB3}"/>
    <cellStyle name="Normal 2 4 2 3 2 4" xfId="773" xr:uid="{00000000-0005-0000-0000-0000D50E0000}"/>
    <cellStyle name="Normal 2 4 2 3 2 4 2" xfId="3012" xr:uid="{00000000-0005-0000-0000-0000D60E0000}"/>
    <cellStyle name="Normal 2 4 2 3 2 4 2 2" xfId="7234" xr:uid="{00000000-0005-0000-0000-0000D70E0000}"/>
    <cellStyle name="Normal 2 4 2 3 2 4 2 2 2" xfId="15684" xr:uid="{4FBE759E-8B44-4751-A5CA-15EC378387FF}"/>
    <cellStyle name="Normal 2 4 2 3 2 4 2 2 3" xfId="24131" xr:uid="{B9E47667-977A-4105-B461-3C7D8F496FA8}"/>
    <cellStyle name="Normal 2 4 2 3 2 4 2 3" xfId="11466" xr:uid="{C52FB403-4FD6-4ED6-9970-07E8AFE369B0}"/>
    <cellStyle name="Normal 2 4 2 3 2 4 2 4" xfId="19914" xr:uid="{71F12DE1-63BF-445D-B1BC-C5A46A85F6C3}"/>
    <cellStyle name="Normal 2 4 2 3 2 4 3" xfId="5089" xr:uid="{00000000-0005-0000-0000-0000D80E0000}"/>
    <cellStyle name="Normal 2 4 2 3 2 4 3 2" xfId="13539" xr:uid="{EBAE1C08-3A1B-44CE-9D2B-6F0B5A69FB81}"/>
    <cellStyle name="Normal 2 4 2 3 2 4 3 3" xfId="21986" xr:uid="{784B85AE-1433-407F-A2DF-550796C3E55F}"/>
    <cellStyle name="Normal 2 4 2 3 2 4 4" xfId="9321" xr:uid="{6A0DE542-DDE4-4489-8065-F49CF97C92BB}"/>
    <cellStyle name="Normal 2 4 2 3 2 4 5" xfId="17769" xr:uid="{9270599E-E240-4110-B495-FB41D1133A43}"/>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2 2 2" xfId="16097" xr:uid="{B431E2E9-BE56-4EE5-B0FB-D6572E156659}"/>
    <cellStyle name="Normal 2 4 2 3 2 5 2 2 3" xfId="24544" xr:uid="{581D06C9-610E-4680-B1E7-487C745E51CE}"/>
    <cellStyle name="Normal 2 4 2 3 2 5 2 3" xfId="11879" xr:uid="{FE57D4A2-0DA8-4BAC-8B90-395BDE2BB45C}"/>
    <cellStyle name="Normal 2 4 2 3 2 5 2 4" xfId="20327" xr:uid="{1C6B4621-FC95-4F57-AA68-6428E5B6E2CF}"/>
    <cellStyle name="Normal 2 4 2 3 2 5 3" xfId="5502" xr:uid="{00000000-0005-0000-0000-0000DC0E0000}"/>
    <cellStyle name="Normal 2 4 2 3 2 5 3 2" xfId="13952" xr:uid="{4461807B-FA08-47B4-8C9C-6B9C51493E31}"/>
    <cellStyle name="Normal 2 4 2 3 2 5 3 3" xfId="22399" xr:uid="{E02254F6-BBFA-44DF-8C82-917C226A2EA0}"/>
    <cellStyle name="Normal 2 4 2 3 2 5 4" xfId="9734" xr:uid="{FC6432C8-FDD2-4136-9384-1A3983A8AAC9}"/>
    <cellStyle name="Normal 2 4 2 3 2 5 5" xfId="18182" xr:uid="{D85BD77B-6BB6-456A-8FC0-527B2333BFE9}"/>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2 2 2" xfId="16510" xr:uid="{A82CE4C0-75DD-440E-A222-535E3F325C5E}"/>
    <cellStyle name="Normal 2 4 2 3 2 6 2 2 3" xfId="24957" xr:uid="{779B2737-885A-4CB7-B7D8-5DBCC21EF5C8}"/>
    <cellStyle name="Normal 2 4 2 3 2 6 2 3" xfId="12292" xr:uid="{817320E4-3650-4B80-8057-36DCC7576EFA}"/>
    <cellStyle name="Normal 2 4 2 3 2 6 2 4" xfId="20740" xr:uid="{5FAD5DF0-38F5-4EC9-8891-6939C4F24A18}"/>
    <cellStyle name="Normal 2 4 2 3 2 6 3" xfId="5915" xr:uid="{00000000-0005-0000-0000-0000E00E0000}"/>
    <cellStyle name="Normal 2 4 2 3 2 6 3 2" xfId="14365" xr:uid="{AC906DDD-769F-48A2-9170-4CFC346326DD}"/>
    <cellStyle name="Normal 2 4 2 3 2 6 3 3" xfId="22812" xr:uid="{F04FC940-B22F-48F3-85DF-798C8827CCBB}"/>
    <cellStyle name="Normal 2 4 2 3 2 6 4" xfId="10147" xr:uid="{1BA5B65F-241F-4EDC-B002-67957097C2DC}"/>
    <cellStyle name="Normal 2 4 2 3 2 6 5" xfId="18595" xr:uid="{145C2D14-CD03-4AFB-B881-69FC0E818E31}"/>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2 2 2" xfId="16923" xr:uid="{D1C98CFC-03DA-4978-93EB-7E36EC907BD9}"/>
    <cellStyle name="Normal 2 4 2 3 2 7 2 2 3" xfId="25370" xr:uid="{FABCCA63-6B7C-41C9-A2F5-92BA49BCB450}"/>
    <cellStyle name="Normal 2 4 2 3 2 7 2 3" xfId="12705" xr:uid="{67A287FB-1240-4B20-A53E-ED71E810C4B1}"/>
    <cellStyle name="Normal 2 4 2 3 2 7 2 4" xfId="21153" xr:uid="{1812A8B7-E296-4386-A29B-6AB0BD1D8DCE}"/>
    <cellStyle name="Normal 2 4 2 3 2 7 3" xfId="6328" xr:uid="{00000000-0005-0000-0000-0000E40E0000}"/>
    <cellStyle name="Normal 2 4 2 3 2 7 3 2" xfId="14778" xr:uid="{1CBD8A12-4CBA-4DB4-9397-9B0B0146D0BB}"/>
    <cellStyle name="Normal 2 4 2 3 2 7 3 3" xfId="23225" xr:uid="{4C339B16-F442-427F-851C-85EE3272F94E}"/>
    <cellStyle name="Normal 2 4 2 3 2 7 4" xfId="10560" xr:uid="{3EAC9E0B-A76F-40A2-BE4F-00841314C06A}"/>
    <cellStyle name="Normal 2 4 2 3 2 7 5" xfId="19008" xr:uid="{BBE7DB1F-B506-4405-9F0F-CAC79E1F3F3F}"/>
    <cellStyle name="Normal 2 4 2 3 2 8" xfId="2458" xr:uid="{00000000-0005-0000-0000-0000E50E0000}"/>
    <cellStyle name="Normal 2 4 2 3 2 8 2" xfId="6741" xr:uid="{00000000-0005-0000-0000-0000E60E0000}"/>
    <cellStyle name="Normal 2 4 2 3 2 8 2 2" xfId="15191" xr:uid="{59FBCA18-55ED-4032-93D9-8BFB6A8A3E64}"/>
    <cellStyle name="Normal 2 4 2 3 2 8 2 3" xfId="23638" xr:uid="{648BD987-4923-4450-B9F3-0A55396B196C}"/>
    <cellStyle name="Normal 2 4 2 3 2 8 3" xfId="10973" xr:uid="{51B40A2C-2FC4-44E4-BFE4-39AEF81FA78D}"/>
    <cellStyle name="Normal 2 4 2 3 2 8 4" xfId="19421" xr:uid="{EE126A63-4D52-421F-BC73-29C3F6218C7F}"/>
    <cellStyle name="Normal 2 4 2 3 2 9" xfId="4675" xr:uid="{00000000-0005-0000-0000-0000E70E0000}"/>
    <cellStyle name="Normal 2 4 2 3 2 9 2" xfId="13125" xr:uid="{65AF02BB-E115-4C7B-8E6A-B9AA72D30CA1}"/>
    <cellStyle name="Normal 2 4 2 3 2 9 3" xfId="21572" xr:uid="{F9260C30-71FC-4A78-809C-BC786EF1E5E1}"/>
    <cellStyle name="Normal 2 4 2 3 3" xfId="286" xr:uid="{00000000-0005-0000-0000-0000E80E0000}"/>
    <cellStyle name="Normal 2 4 2 3 3 10" xfId="17359" xr:uid="{EB8E6C03-97D6-442D-A504-30DDFBD6A47D}"/>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2 2 2" xfId="15689" xr:uid="{72128CE4-96A1-437E-A6EA-6F7D1A0C61BE}"/>
    <cellStyle name="Normal 2 4 2 3 3 2 2 2 2 3" xfId="24136" xr:uid="{42F7F916-5395-4872-A32D-341FEDDA49A1}"/>
    <cellStyle name="Normal 2 4 2 3 3 2 2 2 3" xfId="11471" xr:uid="{D4B09906-9F9A-4F03-B069-14339C3D6978}"/>
    <cellStyle name="Normal 2 4 2 3 3 2 2 2 4" xfId="19919" xr:uid="{0A75AA0D-CEAA-43EC-BD05-8A817DBE3284}"/>
    <cellStyle name="Normal 2 4 2 3 3 2 2 3" xfId="5094" xr:uid="{00000000-0005-0000-0000-0000ED0E0000}"/>
    <cellStyle name="Normal 2 4 2 3 3 2 2 3 2" xfId="13544" xr:uid="{B70F7885-383F-4C9B-BB4E-D89F85A81544}"/>
    <cellStyle name="Normal 2 4 2 3 3 2 2 3 3" xfId="21991" xr:uid="{A2B67829-7DD5-4AE0-8F21-ABF61262DF56}"/>
    <cellStyle name="Normal 2 4 2 3 3 2 2 4" xfId="9326" xr:uid="{82CE23F6-F199-4ED0-8BD5-C73142DDEE91}"/>
    <cellStyle name="Normal 2 4 2 3 3 2 2 5" xfId="17774" xr:uid="{2AE7780B-4740-4FBA-AC6A-C5B1FEB1599B}"/>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2 2 2" xfId="16102" xr:uid="{2B3087A4-1E97-453A-8499-A52030BD8E1B}"/>
    <cellStyle name="Normal 2 4 2 3 3 2 3 2 2 3" xfId="24549" xr:uid="{EDEB9789-EC9E-4B41-B882-F4836C7DB596}"/>
    <cellStyle name="Normal 2 4 2 3 3 2 3 2 3" xfId="11884" xr:uid="{6F8871E3-9B27-40E4-81A0-94B1BA78DA48}"/>
    <cellStyle name="Normal 2 4 2 3 3 2 3 2 4" xfId="20332" xr:uid="{1B171F9D-D779-42DD-A0C0-6166F5EDD1BE}"/>
    <cellStyle name="Normal 2 4 2 3 3 2 3 3" xfId="5507" xr:uid="{00000000-0005-0000-0000-0000F10E0000}"/>
    <cellStyle name="Normal 2 4 2 3 3 2 3 3 2" xfId="13957" xr:uid="{BA71BE80-9696-452A-BD66-EF25C6573B0E}"/>
    <cellStyle name="Normal 2 4 2 3 3 2 3 3 3" xfId="22404" xr:uid="{1B518C96-1568-4ED7-AACD-EAAB6F32909B}"/>
    <cellStyle name="Normal 2 4 2 3 3 2 3 4" xfId="9739" xr:uid="{0B327E75-02CC-46E2-8DE5-0FC561A9B41C}"/>
    <cellStyle name="Normal 2 4 2 3 3 2 3 5" xfId="18187" xr:uid="{719818F4-F517-463E-A0C6-01468E9077B6}"/>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2 2 2" xfId="16515" xr:uid="{97E2C470-CB4B-4927-9AA5-AB4688D3F6E5}"/>
    <cellStyle name="Normal 2 4 2 3 3 2 4 2 2 3" xfId="24962" xr:uid="{D7AD93CA-98F1-4EDA-977F-EB4610D47039}"/>
    <cellStyle name="Normal 2 4 2 3 3 2 4 2 3" xfId="12297" xr:uid="{205A68E9-8B1A-4239-A028-7B13B6B2C360}"/>
    <cellStyle name="Normal 2 4 2 3 3 2 4 2 4" xfId="20745" xr:uid="{2FF73B6F-BB19-44CF-872B-2117086B0AB5}"/>
    <cellStyle name="Normal 2 4 2 3 3 2 4 3" xfId="5920" xr:uid="{00000000-0005-0000-0000-0000F50E0000}"/>
    <cellStyle name="Normal 2 4 2 3 3 2 4 3 2" xfId="14370" xr:uid="{DA96B521-13E2-4267-A495-2F6EF9717EBF}"/>
    <cellStyle name="Normal 2 4 2 3 3 2 4 3 3" xfId="22817" xr:uid="{5B4382D2-D55D-40A3-8E97-277B5868589E}"/>
    <cellStyle name="Normal 2 4 2 3 3 2 4 4" xfId="10152" xr:uid="{931D73AC-BEC5-4C41-83D0-6A533E5360C7}"/>
    <cellStyle name="Normal 2 4 2 3 3 2 4 5" xfId="18600" xr:uid="{117FC893-DCE5-40DC-AE36-B9858F08E909}"/>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2 2 2" xfId="16928" xr:uid="{00C165A6-B1BE-4A04-8BF6-3B67E8870986}"/>
    <cellStyle name="Normal 2 4 2 3 3 2 5 2 2 3" xfId="25375" xr:uid="{3F623214-ABC9-4FBA-A22D-F82798B0C653}"/>
    <cellStyle name="Normal 2 4 2 3 3 2 5 2 3" xfId="12710" xr:uid="{3ED43005-7183-4DC2-827D-6CEAB11305BD}"/>
    <cellStyle name="Normal 2 4 2 3 3 2 5 2 4" xfId="21158" xr:uid="{D97193F8-97AF-442B-8D57-80FB61279CDE}"/>
    <cellStyle name="Normal 2 4 2 3 3 2 5 3" xfId="6333" xr:uid="{00000000-0005-0000-0000-0000F90E0000}"/>
    <cellStyle name="Normal 2 4 2 3 3 2 5 3 2" xfId="14783" xr:uid="{363752B5-F4E2-4DBC-B8F9-2561791F94FF}"/>
    <cellStyle name="Normal 2 4 2 3 3 2 5 3 3" xfId="23230" xr:uid="{F37FBEB9-9B23-4E27-85EE-88DE569CB995}"/>
    <cellStyle name="Normal 2 4 2 3 3 2 5 4" xfId="10565" xr:uid="{C6D78A4D-58AF-4FD5-8E49-711D0DF770EF}"/>
    <cellStyle name="Normal 2 4 2 3 3 2 5 5" xfId="19013" xr:uid="{8F09141E-D89C-4CA0-B3DC-4DF788E02BEC}"/>
    <cellStyle name="Normal 2 4 2 3 3 2 6" xfId="2463" xr:uid="{00000000-0005-0000-0000-0000FA0E0000}"/>
    <cellStyle name="Normal 2 4 2 3 3 2 6 2" xfId="6746" xr:uid="{00000000-0005-0000-0000-0000FB0E0000}"/>
    <cellStyle name="Normal 2 4 2 3 3 2 6 2 2" xfId="15196" xr:uid="{27D2B701-4E7D-4C78-A0C7-7F60A8329DFD}"/>
    <cellStyle name="Normal 2 4 2 3 3 2 6 2 3" xfId="23643" xr:uid="{47665717-2AEA-4B73-8513-03C0E6569C8D}"/>
    <cellStyle name="Normal 2 4 2 3 3 2 6 3" xfId="10978" xr:uid="{31561543-7357-4C01-8C67-E65930C87896}"/>
    <cellStyle name="Normal 2 4 2 3 3 2 6 4" xfId="19426" xr:uid="{B0F1D8ED-AB61-493B-B9B9-98404384DE0E}"/>
    <cellStyle name="Normal 2 4 2 3 3 2 7" xfId="4680" xr:uid="{00000000-0005-0000-0000-0000FC0E0000}"/>
    <cellStyle name="Normal 2 4 2 3 3 2 7 2" xfId="13130" xr:uid="{6B1D1526-6160-4CB2-B901-21F382D114E8}"/>
    <cellStyle name="Normal 2 4 2 3 3 2 7 3" xfId="21577" xr:uid="{2F823C66-E580-4799-815B-64CE64187682}"/>
    <cellStyle name="Normal 2 4 2 3 3 2 8" xfId="8912" xr:uid="{6D23F454-41B9-4EFA-A970-44D01E097ECF}"/>
    <cellStyle name="Normal 2 4 2 3 3 2 9" xfId="17360" xr:uid="{C9FE4E21-5B2B-4DF4-B5F8-F9CF8B13E582}"/>
    <cellStyle name="Normal 2 4 2 3 3 3" xfId="777" xr:uid="{00000000-0005-0000-0000-0000FD0E0000}"/>
    <cellStyle name="Normal 2 4 2 3 3 3 2" xfId="3016" xr:uid="{00000000-0005-0000-0000-0000FE0E0000}"/>
    <cellStyle name="Normal 2 4 2 3 3 3 2 2" xfId="7238" xr:uid="{00000000-0005-0000-0000-0000FF0E0000}"/>
    <cellStyle name="Normal 2 4 2 3 3 3 2 2 2" xfId="15688" xr:uid="{AFBCF64C-A9E3-430F-A5AE-CA3718CBF1A0}"/>
    <cellStyle name="Normal 2 4 2 3 3 3 2 2 3" xfId="24135" xr:uid="{E3972E6D-D870-4E2B-A2AD-FD569EE09A25}"/>
    <cellStyle name="Normal 2 4 2 3 3 3 2 3" xfId="11470" xr:uid="{C2F191A8-F1D6-498D-8340-54711C315213}"/>
    <cellStyle name="Normal 2 4 2 3 3 3 2 4" xfId="19918" xr:uid="{D198B3FA-D2D9-497A-BD51-8D35DD027462}"/>
    <cellStyle name="Normal 2 4 2 3 3 3 3" xfId="5093" xr:uid="{00000000-0005-0000-0000-0000000F0000}"/>
    <cellStyle name="Normal 2 4 2 3 3 3 3 2" xfId="13543" xr:uid="{9974CE40-02AA-4146-9EDE-94E30EBA3C2A}"/>
    <cellStyle name="Normal 2 4 2 3 3 3 3 3" xfId="21990" xr:uid="{28B3A34F-6E69-4B3C-BA0A-4D356452AE09}"/>
    <cellStyle name="Normal 2 4 2 3 3 3 4" xfId="9325" xr:uid="{E80BB07E-C99A-4D06-BF9A-15106E2EC95C}"/>
    <cellStyle name="Normal 2 4 2 3 3 3 5" xfId="17773" xr:uid="{76BEA4C8-48E7-4633-84FE-F0B4B2CB5013}"/>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2 2 2" xfId="16101" xr:uid="{6884C62D-EADC-4EE7-81EE-D23FCC7E8580}"/>
    <cellStyle name="Normal 2 4 2 3 3 4 2 2 3" xfId="24548" xr:uid="{D2FEF379-A61E-400A-BB3C-90BA43B44A21}"/>
    <cellStyle name="Normal 2 4 2 3 3 4 2 3" xfId="11883" xr:uid="{4CB59004-EC7D-4424-B573-91072B1C0166}"/>
    <cellStyle name="Normal 2 4 2 3 3 4 2 4" xfId="20331" xr:uid="{D6A7AF08-186D-46F9-8A1B-9BEA43D921DB}"/>
    <cellStyle name="Normal 2 4 2 3 3 4 3" xfId="5506" xr:uid="{00000000-0005-0000-0000-0000040F0000}"/>
    <cellStyle name="Normal 2 4 2 3 3 4 3 2" xfId="13956" xr:uid="{50EED48F-82CB-4400-B89B-C619BA2F93C0}"/>
    <cellStyle name="Normal 2 4 2 3 3 4 3 3" xfId="22403" xr:uid="{68CE6E90-D55D-4386-99F9-2F98F81A5952}"/>
    <cellStyle name="Normal 2 4 2 3 3 4 4" xfId="9738" xr:uid="{D934A79B-72B6-4E3F-871F-9EFD625DB0B7}"/>
    <cellStyle name="Normal 2 4 2 3 3 4 5" xfId="18186" xr:uid="{6BD9D3EB-3A39-4FDA-A30C-195ADA89C14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2 2 2" xfId="16514" xr:uid="{6092021E-8C04-4DB3-BEB4-EAF94DCD71B4}"/>
    <cellStyle name="Normal 2 4 2 3 3 5 2 2 3" xfId="24961" xr:uid="{E252A781-74DE-4502-A89A-3BC021FFCA38}"/>
    <cellStyle name="Normal 2 4 2 3 3 5 2 3" xfId="12296" xr:uid="{466049F9-EBA9-4D0B-BFCE-C7752D797E21}"/>
    <cellStyle name="Normal 2 4 2 3 3 5 2 4" xfId="20744" xr:uid="{4C84D97A-96F1-489E-87FD-917541354D31}"/>
    <cellStyle name="Normal 2 4 2 3 3 5 3" xfId="5919" xr:uid="{00000000-0005-0000-0000-0000080F0000}"/>
    <cellStyle name="Normal 2 4 2 3 3 5 3 2" xfId="14369" xr:uid="{F317869A-FD90-41B3-A375-831E77AC7B03}"/>
    <cellStyle name="Normal 2 4 2 3 3 5 3 3" xfId="22816" xr:uid="{8801FA15-ABA9-4528-A5A7-985F22160AA4}"/>
    <cellStyle name="Normal 2 4 2 3 3 5 4" xfId="10151" xr:uid="{69D291FC-31A1-4973-AA69-3C3C3F46261D}"/>
    <cellStyle name="Normal 2 4 2 3 3 5 5" xfId="18599" xr:uid="{B0133D4D-97A6-493C-A69D-615E2A666F61}"/>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2 2 2" xfId="16927" xr:uid="{9A968B66-6BD5-43FE-A7D2-63602FC353CD}"/>
    <cellStyle name="Normal 2 4 2 3 3 6 2 2 3" xfId="25374" xr:uid="{AD11D8BA-043D-48F0-9012-DF075989A500}"/>
    <cellStyle name="Normal 2 4 2 3 3 6 2 3" xfId="12709" xr:uid="{97279D66-9634-4223-A5FA-057E3E4838BA}"/>
    <cellStyle name="Normal 2 4 2 3 3 6 2 4" xfId="21157" xr:uid="{8F48D55B-1210-4CBD-8C00-2EB8AF230ECF}"/>
    <cellStyle name="Normal 2 4 2 3 3 6 3" xfId="6332" xr:uid="{00000000-0005-0000-0000-00000C0F0000}"/>
    <cellStyle name="Normal 2 4 2 3 3 6 3 2" xfId="14782" xr:uid="{F802BF22-010D-409C-8F2B-5ED1F55B07D1}"/>
    <cellStyle name="Normal 2 4 2 3 3 6 3 3" xfId="23229" xr:uid="{0E98B5EB-7A38-4DD2-9AFC-A92F80EEE1E9}"/>
    <cellStyle name="Normal 2 4 2 3 3 6 4" xfId="10564" xr:uid="{C06B321B-1E9F-43D7-8B45-C00B8E87CC3A}"/>
    <cellStyle name="Normal 2 4 2 3 3 6 5" xfId="19012" xr:uid="{BB7C2FF3-5F64-4702-B3D0-217A5056C241}"/>
    <cellStyle name="Normal 2 4 2 3 3 7" xfId="2462" xr:uid="{00000000-0005-0000-0000-00000D0F0000}"/>
    <cellStyle name="Normal 2 4 2 3 3 7 2" xfId="6745" xr:uid="{00000000-0005-0000-0000-00000E0F0000}"/>
    <cellStyle name="Normal 2 4 2 3 3 7 2 2" xfId="15195" xr:uid="{32A90B04-96DB-4BF3-9C50-F5CD00E3F1AC}"/>
    <cellStyle name="Normal 2 4 2 3 3 7 2 3" xfId="23642" xr:uid="{CCBBA6F7-C5D9-4B39-8318-C8D09AC0DA48}"/>
    <cellStyle name="Normal 2 4 2 3 3 7 3" xfId="10977" xr:uid="{F69CCB0D-BD2E-4B35-8490-7B9F3F700880}"/>
    <cellStyle name="Normal 2 4 2 3 3 7 4" xfId="19425" xr:uid="{D513CB7E-6ED4-4619-83DA-CA0463539FF2}"/>
    <cellStyle name="Normal 2 4 2 3 3 8" xfId="4679" xr:uid="{00000000-0005-0000-0000-00000F0F0000}"/>
    <cellStyle name="Normal 2 4 2 3 3 8 2" xfId="13129" xr:uid="{516AE9EE-35EC-4656-BC32-DA93B8818B63}"/>
    <cellStyle name="Normal 2 4 2 3 3 8 3" xfId="21576" xr:uid="{4E115157-4B67-4E99-9287-566B13B1CD28}"/>
    <cellStyle name="Normal 2 4 2 3 3 9" xfId="8911" xr:uid="{FF30AEE1-86A0-49A6-9FE7-A8E7CBD465DC}"/>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2 2 2" xfId="15690" xr:uid="{62E8B90B-5129-4118-A780-7541BEE3B7E8}"/>
    <cellStyle name="Normal 2 4 2 3 4 2 2 2 3" xfId="24137" xr:uid="{3B9FA745-B8CA-4A56-A3DF-DB527112EB2A}"/>
    <cellStyle name="Normal 2 4 2 3 4 2 2 3" xfId="11472" xr:uid="{22EC5B15-4FC7-4E12-BD05-7FE532327834}"/>
    <cellStyle name="Normal 2 4 2 3 4 2 2 4" xfId="19920" xr:uid="{C5390394-ED70-4FA4-890F-3C9408450EAB}"/>
    <cellStyle name="Normal 2 4 2 3 4 2 3" xfId="5095" xr:uid="{00000000-0005-0000-0000-0000140F0000}"/>
    <cellStyle name="Normal 2 4 2 3 4 2 3 2" xfId="13545" xr:uid="{55E2BE1D-4F4F-4676-B158-413943427BA4}"/>
    <cellStyle name="Normal 2 4 2 3 4 2 3 3" xfId="21992" xr:uid="{9308B1C5-2835-4270-81C8-4A27ADE2364B}"/>
    <cellStyle name="Normal 2 4 2 3 4 2 4" xfId="9327" xr:uid="{98264252-E56C-4AA4-83A5-582D32F6FF68}"/>
    <cellStyle name="Normal 2 4 2 3 4 2 5" xfId="17775" xr:uid="{1F3A2D2E-3E09-4D19-B166-406270F7A82B}"/>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2 2 2" xfId="16103" xr:uid="{C91CB6E6-0AE9-4DCF-A7E4-86891993BA48}"/>
    <cellStyle name="Normal 2 4 2 3 4 3 2 2 3" xfId="24550" xr:uid="{DD247109-EADC-4D6B-9C7B-6DD608297C2C}"/>
    <cellStyle name="Normal 2 4 2 3 4 3 2 3" xfId="11885" xr:uid="{5C92AFB9-32BF-4183-93AC-096B8967F16C}"/>
    <cellStyle name="Normal 2 4 2 3 4 3 2 4" xfId="20333" xr:uid="{D1DEB3AC-D1C1-4985-B963-607F9BCE36E3}"/>
    <cellStyle name="Normal 2 4 2 3 4 3 3" xfId="5508" xr:uid="{00000000-0005-0000-0000-0000180F0000}"/>
    <cellStyle name="Normal 2 4 2 3 4 3 3 2" xfId="13958" xr:uid="{743956A6-EE9B-4C2B-8B69-2C4D37F02BA0}"/>
    <cellStyle name="Normal 2 4 2 3 4 3 3 3" xfId="22405" xr:uid="{50339755-F059-4C94-8B9A-439EC80BD3F7}"/>
    <cellStyle name="Normal 2 4 2 3 4 3 4" xfId="9740" xr:uid="{5CB852F9-8CDD-459D-BBD0-3A981A18CE49}"/>
    <cellStyle name="Normal 2 4 2 3 4 3 5" xfId="18188" xr:uid="{90FD157A-7829-4617-9EA6-E758FE50F293}"/>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2 2 2" xfId="16516" xr:uid="{1945E250-667E-402D-8DC0-F62374F4CA61}"/>
    <cellStyle name="Normal 2 4 2 3 4 4 2 2 3" xfId="24963" xr:uid="{D3BC0672-3FE8-4A6F-826B-ECF418A2C588}"/>
    <cellStyle name="Normal 2 4 2 3 4 4 2 3" xfId="12298" xr:uid="{B7BEF49D-4522-4BEC-AEEF-3CC52976F962}"/>
    <cellStyle name="Normal 2 4 2 3 4 4 2 4" xfId="20746" xr:uid="{7BF9E027-156E-4AB6-A676-FB299D6C7EF0}"/>
    <cellStyle name="Normal 2 4 2 3 4 4 3" xfId="5921" xr:uid="{00000000-0005-0000-0000-00001C0F0000}"/>
    <cellStyle name="Normal 2 4 2 3 4 4 3 2" xfId="14371" xr:uid="{CDA2A296-B594-4A4B-9D3C-C5538FFE1D72}"/>
    <cellStyle name="Normal 2 4 2 3 4 4 3 3" xfId="22818" xr:uid="{274C746F-6F74-4AB3-AD3A-A4AF4F289FC5}"/>
    <cellStyle name="Normal 2 4 2 3 4 4 4" xfId="10153" xr:uid="{5CD3A281-3A0D-499C-8213-728122D50DF4}"/>
    <cellStyle name="Normal 2 4 2 3 4 4 5" xfId="18601" xr:uid="{83491749-4B41-410B-A5F8-E3F367904D8C}"/>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2 2 2" xfId="16929" xr:uid="{301CD8F3-A347-4998-BC7B-83531380373D}"/>
    <cellStyle name="Normal 2 4 2 3 4 5 2 2 3" xfId="25376" xr:uid="{0747D2FC-9B94-4AD2-9CE3-62F30DE2089A}"/>
    <cellStyle name="Normal 2 4 2 3 4 5 2 3" xfId="12711" xr:uid="{9CCF994D-11BA-4DA6-B589-3BB3A4BAD1BC}"/>
    <cellStyle name="Normal 2 4 2 3 4 5 2 4" xfId="21159" xr:uid="{BA05D32A-3CC3-4280-9F18-355C89081746}"/>
    <cellStyle name="Normal 2 4 2 3 4 5 3" xfId="6334" xr:uid="{00000000-0005-0000-0000-0000200F0000}"/>
    <cellStyle name="Normal 2 4 2 3 4 5 3 2" xfId="14784" xr:uid="{0E3ADCE3-C7FE-4BFB-B0E9-D5D21D3E1D18}"/>
    <cellStyle name="Normal 2 4 2 3 4 5 3 3" xfId="23231" xr:uid="{AA9364D2-9A70-42FF-90C9-7370193B407C}"/>
    <cellStyle name="Normal 2 4 2 3 4 5 4" xfId="10566" xr:uid="{E16E238A-D8C5-44A4-A38E-365BB8F72B25}"/>
    <cellStyle name="Normal 2 4 2 3 4 5 5" xfId="19014" xr:uid="{95D533C3-AB32-47D1-BEB2-27411420E39A}"/>
    <cellStyle name="Normal 2 4 2 3 4 6" xfId="2464" xr:uid="{00000000-0005-0000-0000-0000210F0000}"/>
    <cellStyle name="Normal 2 4 2 3 4 6 2" xfId="6747" xr:uid="{00000000-0005-0000-0000-0000220F0000}"/>
    <cellStyle name="Normal 2 4 2 3 4 6 2 2" xfId="15197" xr:uid="{7B995F37-3E81-46A0-95DA-E9E8C47C933C}"/>
    <cellStyle name="Normal 2 4 2 3 4 6 2 3" xfId="23644" xr:uid="{E5B22552-2FFC-4064-A156-FE0B44C25B24}"/>
    <cellStyle name="Normal 2 4 2 3 4 6 3" xfId="10979" xr:uid="{E7F1FE9F-935D-4DBD-9EBE-522BE7FD6052}"/>
    <cellStyle name="Normal 2 4 2 3 4 6 4" xfId="19427" xr:uid="{A6940626-E392-4660-B059-632908B651DC}"/>
    <cellStyle name="Normal 2 4 2 3 4 7" xfId="4681" xr:uid="{00000000-0005-0000-0000-0000230F0000}"/>
    <cellStyle name="Normal 2 4 2 3 4 7 2" xfId="13131" xr:uid="{2D746236-C048-408D-B92C-DE97F0581B42}"/>
    <cellStyle name="Normal 2 4 2 3 4 7 3" xfId="21578" xr:uid="{8F40C971-8D35-4DED-A161-A34A382F48E6}"/>
    <cellStyle name="Normal 2 4 2 3 4 8" xfId="8913" xr:uid="{0ED68669-2BDE-4E7F-8FE7-AC7C6D5A9428}"/>
    <cellStyle name="Normal 2 4 2 3 4 9" xfId="17361" xr:uid="{9BB446A9-4ECA-4A90-9983-AC642E0A36C5}"/>
    <cellStyle name="Normal 2 4 2 3 5" xfId="772" xr:uid="{00000000-0005-0000-0000-0000240F0000}"/>
    <cellStyle name="Normal 2 4 2 3 5 2" xfId="3011" xr:uid="{00000000-0005-0000-0000-0000250F0000}"/>
    <cellStyle name="Normal 2 4 2 3 5 2 2" xfId="7233" xr:uid="{00000000-0005-0000-0000-0000260F0000}"/>
    <cellStyle name="Normal 2 4 2 3 5 2 2 2" xfId="15683" xr:uid="{822AFDCC-C838-4FD4-8FAB-9E29C0E21C17}"/>
    <cellStyle name="Normal 2 4 2 3 5 2 2 3" xfId="24130" xr:uid="{3525E3A7-13E5-4E82-BDB4-0A53784E98C5}"/>
    <cellStyle name="Normal 2 4 2 3 5 2 3" xfId="11465" xr:uid="{EFEFBB42-8684-4071-89D3-15BD95878AAB}"/>
    <cellStyle name="Normal 2 4 2 3 5 2 4" xfId="19913" xr:uid="{8545662D-1CE8-4D71-B0E9-6F9DE48A2619}"/>
    <cellStyle name="Normal 2 4 2 3 5 3" xfId="5088" xr:uid="{00000000-0005-0000-0000-0000270F0000}"/>
    <cellStyle name="Normal 2 4 2 3 5 3 2" xfId="13538" xr:uid="{ABC52E3C-DD45-44D6-B62A-80333929DC13}"/>
    <cellStyle name="Normal 2 4 2 3 5 3 3" xfId="21985" xr:uid="{E0AD54CC-26C0-4163-ADFB-9C1A664E6C62}"/>
    <cellStyle name="Normal 2 4 2 3 5 4" xfId="9320" xr:uid="{F6B0B9FB-ACC8-4EE4-8A17-32B96D472735}"/>
    <cellStyle name="Normal 2 4 2 3 5 5" xfId="17768" xr:uid="{A324E8DA-D027-476C-9201-8568074AB396}"/>
    <cellStyle name="Normal 2 4 2 3 6" xfId="1194" xr:uid="{00000000-0005-0000-0000-0000280F0000}"/>
    <cellStyle name="Normal 2 4 2 3 6 2" xfId="3424" xr:uid="{00000000-0005-0000-0000-0000290F0000}"/>
    <cellStyle name="Normal 2 4 2 3 6 2 2" xfId="7646" xr:uid="{00000000-0005-0000-0000-00002A0F0000}"/>
    <cellStyle name="Normal 2 4 2 3 6 2 2 2" xfId="16096" xr:uid="{0760B87B-E096-4194-968E-E21C49B7A48E}"/>
    <cellStyle name="Normal 2 4 2 3 6 2 2 3" xfId="24543" xr:uid="{EC7916A5-CE3A-4095-A9F5-C1C8EF050661}"/>
    <cellStyle name="Normal 2 4 2 3 6 2 3" xfId="11878" xr:uid="{DD33C8AC-B28D-4FC7-A854-8B2988BC0991}"/>
    <cellStyle name="Normal 2 4 2 3 6 2 4" xfId="20326" xr:uid="{5E579137-5876-480D-99C5-A749FB31C3A6}"/>
    <cellStyle name="Normal 2 4 2 3 6 3" xfId="5501" xr:uid="{00000000-0005-0000-0000-00002B0F0000}"/>
    <cellStyle name="Normal 2 4 2 3 6 3 2" xfId="13951" xr:uid="{ABD6DF9E-90D3-4F5B-B3D2-A2E4CED23230}"/>
    <cellStyle name="Normal 2 4 2 3 6 3 3" xfId="22398" xr:uid="{A55F7DAE-440E-4BD8-9B65-3250F740F84D}"/>
    <cellStyle name="Normal 2 4 2 3 6 4" xfId="9733" xr:uid="{2152EE89-2640-49AB-A927-D2F9F629C654}"/>
    <cellStyle name="Normal 2 4 2 3 6 5" xfId="18181" xr:uid="{3E0F0CD5-6504-4B50-87A3-1693539B9DBC}"/>
    <cellStyle name="Normal 2 4 2 3 7" xfId="1607" xr:uid="{00000000-0005-0000-0000-00002C0F0000}"/>
    <cellStyle name="Normal 2 4 2 3 7 2" xfId="3837" xr:uid="{00000000-0005-0000-0000-00002D0F0000}"/>
    <cellStyle name="Normal 2 4 2 3 7 2 2" xfId="8059" xr:uid="{00000000-0005-0000-0000-00002E0F0000}"/>
    <cellStyle name="Normal 2 4 2 3 7 2 2 2" xfId="16509" xr:uid="{E444B5CB-4515-4B63-A8BD-818E78E7FDFE}"/>
    <cellStyle name="Normal 2 4 2 3 7 2 2 3" xfId="24956" xr:uid="{398E5D95-6FA9-43FE-9141-EDB572C2E0A1}"/>
    <cellStyle name="Normal 2 4 2 3 7 2 3" xfId="12291" xr:uid="{87C4821F-2C98-45EE-AA40-7CB89FC512BB}"/>
    <cellStyle name="Normal 2 4 2 3 7 2 4" xfId="20739" xr:uid="{D780D141-0FD7-4861-9D05-E618F3F2A9F0}"/>
    <cellStyle name="Normal 2 4 2 3 7 3" xfId="5914" xr:uid="{00000000-0005-0000-0000-00002F0F0000}"/>
    <cellStyle name="Normal 2 4 2 3 7 3 2" xfId="14364" xr:uid="{CBBA8B84-1108-40E7-ABD5-65636E21F42F}"/>
    <cellStyle name="Normal 2 4 2 3 7 3 3" xfId="22811" xr:uid="{2A579DED-AE48-48AC-8CC7-34600D084A5A}"/>
    <cellStyle name="Normal 2 4 2 3 7 4" xfId="10146" xr:uid="{7083B860-B253-4A11-88B3-EA0688D0083A}"/>
    <cellStyle name="Normal 2 4 2 3 7 5" xfId="18594" xr:uid="{F02C57BC-4274-4C0D-B168-7F7B9CE9C47D}"/>
    <cellStyle name="Normal 2 4 2 3 8" xfId="2021" xr:uid="{00000000-0005-0000-0000-0000300F0000}"/>
    <cellStyle name="Normal 2 4 2 3 8 2" xfId="4250" xr:uid="{00000000-0005-0000-0000-0000310F0000}"/>
    <cellStyle name="Normal 2 4 2 3 8 2 2" xfId="8472" xr:uid="{00000000-0005-0000-0000-0000320F0000}"/>
    <cellStyle name="Normal 2 4 2 3 8 2 2 2" xfId="16922" xr:uid="{58513D33-D93E-43E4-906B-83BE8033E977}"/>
    <cellStyle name="Normal 2 4 2 3 8 2 2 3" xfId="25369" xr:uid="{A54E8614-472D-4E91-A5CE-B08D135F88C5}"/>
    <cellStyle name="Normal 2 4 2 3 8 2 3" xfId="12704" xr:uid="{78F5B804-4F72-4F7A-AF8F-8FE44995D37B}"/>
    <cellStyle name="Normal 2 4 2 3 8 2 4" xfId="21152" xr:uid="{9F939DA2-5906-4B65-8860-C94CFEAEEE57}"/>
    <cellStyle name="Normal 2 4 2 3 8 3" xfId="6327" xr:uid="{00000000-0005-0000-0000-0000330F0000}"/>
    <cellStyle name="Normal 2 4 2 3 8 3 2" xfId="14777" xr:uid="{B9777C23-0BE8-4103-A1AF-E6B43A380590}"/>
    <cellStyle name="Normal 2 4 2 3 8 3 3" xfId="23224" xr:uid="{97E771ED-F9A9-4DB3-AECC-92FB6901E411}"/>
    <cellStyle name="Normal 2 4 2 3 8 4" xfId="10559" xr:uid="{CEAB2A62-C15F-4D36-9DE2-FF96C24D1181}"/>
    <cellStyle name="Normal 2 4 2 3 8 5" xfId="19007" xr:uid="{447E1FDD-FC60-4D8F-8E04-BBC78F1BC8F5}"/>
    <cellStyle name="Normal 2 4 2 3 9" xfId="2457" xr:uid="{00000000-0005-0000-0000-0000340F0000}"/>
    <cellStyle name="Normal 2 4 2 3 9 2" xfId="6740" xr:uid="{00000000-0005-0000-0000-0000350F0000}"/>
    <cellStyle name="Normal 2 4 2 3 9 2 2" xfId="15190" xr:uid="{DFCBE9BD-6B50-47C9-945F-9216EF80CC0F}"/>
    <cellStyle name="Normal 2 4 2 3 9 2 3" xfId="23637" xr:uid="{D0390BB9-821B-4953-9168-11A90C0C741E}"/>
    <cellStyle name="Normal 2 4 2 3 9 3" xfId="10972" xr:uid="{B50528E3-FFF7-47DB-BF55-2BEC70DA9957}"/>
    <cellStyle name="Normal 2 4 2 3 9 4" xfId="19420" xr:uid="{950A29D8-58E4-426C-ADA1-299B4BAE6B4C}"/>
    <cellStyle name="Normal 2 4 2 4" xfId="289" xr:uid="{00000000-0005-0000-0000-0000360F0000}"/>
    <cellStyle name="Normal 2 4 2 4 10" xfId="8914" xr:uid="{E6A44567-6D12-45CD-90DB-2450BAA07734}"/>
    <cellStyle name="Normal 2 4 2 4 11" xfId="17362" xr:uid="{FCCFA181-6358-47C1-ABA7-67BA42BDC062}"/>
    <cellStyle name="Normal 2 4 2 4 2" xfId="290" xr:uid="{00000000-0005-0000-0000-0000370F0000}"/>
    <cellStyle name="Normal 2 4 2 4 2 10" xfId="17363" xr:uid="{1C92B8B4-61E6-4164-B0A2-BAA309620D53}"/>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2 2 2" xfId="15693" xr:uid="{23C53AD5-FC9B-469D-A084-8E5417AAD2CC}"/>
    <cellStyle name="Normal 2 4 2 4 2 2 2 2 2 3" xfId="24140" xr:uid="{AB143290-3534-4759-AB58-38E813258664}"/>
    <cellStyle name="Normal 2 4 2 4 2 2 2 2 3" xfId="11475" xr:uid="{F220BC42-6A86-403A-9C63-73298FE13D44}"/>
    <cellStyle name="Normal 2 4 2 4 2 2 2 2 4" xfId="19923" xr:uid="{40CA0FFC-2181-45B8-A626-5BCAECC3B8D6}"/>
    <cellStyle name="Normal 2 4 2 4 2 2 2 3" xfId="5098" xr:uid="{00000000-0005-0000-0000-00003C0F0000}"/>
    <cellStyle name="Normal 2 4 2 4 2 2 2 3 2" xfId="13548" xr:uid="{7BDC2227-B8C9-4D95-BB60-4F7EB67A504F}"/>
    <cellStyle name="Normal 2 4 2 4 2 2 2 3 3" xfId="21995" xr:uid="{AC31CB4D-CEB7-47B4-95DA-43091F38170B}"/>
    <cellStyle name="Normal 2 4 2 4 2 2 2 4" xfId="9330" xr:uid="{E4BDC1FA-BCC6-4E64-B46A-24DBB3D17AF8}"/>
    <cellStyle name="Normal 2 4 2 4 2 2 2 5" xfId="17778" xr:uid="{0B7B4BCB-772D-4A71-9A71-E0BBDA4DF91D}"/>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2 2 2" xfId="16106" xr:uid="{D3594DDE-F626-4ADD-8BEB-4F4605898A30}"/>
    <cellStyle name="Normal 2 4 2 4 2 2 3 2 2 3" xfId="24553" xr:uid="{8E6CFD78-CF23-4E40-BD98-8A11C7D590F8}"/>
    <cellStyle name="Normal 2 4 2 4 2 2 3 2 3" xfId="11888" xr:uid="{25989710-1DB3-4226-8D69-6F7CD75EC8F5}"/>
    <cellStyle name="Normal 2 4 2 4 2 2 3 2 4" xfId="20336" xr:uid="{B86933AB-9371-4ACF-907A-9CFF83774FC3}"/>
    <cellStyle name="Normal 2 4 2 4 2 2 3 3" xfId="5511" xr:uid="{00000000-0005-0000-0000-0000400F0000}"/>
    <cellStyle name="Normal 2 4 2 4 2 2 3 3 2" xfId="13961" xr:uid="{EDF475A9-6AF1-4572-A775-4943DDB6E7A5}"/>
    <cellStyle name="Normal 2 4 2 4 2 2 3 3 3" xfId="22408" xr:uid="{43433CD5-D2D5-4719-9D83-860AF1BBA53A}"/>
    <cellStyle name="Normal 2 4 2 4 2 2 3 4" xfId="9743" xr:uid="{B01B305C-25F5-4F85-9B0F-52DE2054F133}"/>
    <cellStyle name="Normal 2 4 2 4 2 2 3 5" xfId="18191" xr:uid="{C56DB0CA-9378-4AFA-BB0B-3564C176479D}"/>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2 2 2" xfId="16519" xr:uid="{BF31647C-C7F0-4207-BC66-26AFBE9D3D66}"/>
    <cellStyle name="Normal 2 4 2 4 2 2 4 2 2 3" xfId="24966" xr:uid="{BD365FBD-CDDD-45F6-9381-DBFDB3C4FAAC}"/>
    <cellStyle name="Normal 2 4 2 4 2 2 4 2 3" xfId="12301" xr:uid="{D70DB9BF-DAD8-4158-94A6-75258000B750}"/>
    <cellStyle name="Normal 2 4 2 4 2 2 4 2 4" xfId="20749" xr:uid="{45A2A058-2EE5-4CC3-8D03-279FB6B9C3A3}"/>
    <cellStyle name="Normal 2 4 2 4 2 2 4 3" xfId="5924" xr:uid="{00000000-0005-0000-0000-0000440F0000}"/>
    <cellStyle name="Normal 2 4 2 4 2 2 4 3 2" xfId="14374" xr:uid="{3E1E756F-803B-4B69-A72F-C6DE2BA7C6EA}"/>
    <cellStyle name="Normal 2 4 2 4 2 2 4 3 3" xfId="22821" xr:uid="{E49CFE2F-4E27-48EB-97D8-1CEE9FB036CC}"/>
    <cellStyle name="Normal 2 4 2 4 2 2 4 4" xfId="10156" xr:uid="{051975E0-9B14-400D-8612-81244A2FBA82}"/>
    <cellStyle name="Normal 2 4 2 4 2 2 4 5" xfId="18604" xr:uid="{6F4FFBE2-56EB-4097-9DEE-34748A78F0DC}"/>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2 2 2" xfId="16932" xr:uid="{B8114722-0D9D-4E32-8602-F99D8E941E78}"/>
    <cellStyle name="Normal 2 4 2 4 2 2 5 2 2 3" xfId="25379" xr:uid="{9C14C8DC-E74E-4A8E-85FD-75074B5923B9}"/>
    <cellStyle name="Normal 2 4 2 4 2 2 5 2 3" xfId="12714" xr:uid="{98F1819C-CCEF-4109-A674-63C27A93A9FF}"/>
    <cellStyle name="Normal 2 4 2 4 2 2 5 2 4" xfId="21162" xr:uid="{E510384F-1A80-4681-99C2-9C4F34C64DBB}"/>
    <cellStyle name="Normal 2 4 2 4 2 2 5 3" xfId="6337" xr:uid="{00000000-0005-0000-0000-0000480F0000}"/>
    <cellStyle name="Normal 2 4 2 4 2 2 5 3 2" xfId="14787" xr:uid="{929F6BAD-BA4D-4002-BA19-F5164C8ED9E4}"/>
    <cellStyle name="Normal 2 4 2 4 2 2 5 3 3" xfId="23234" xr:uid="{11B8EAD3-8B22-473C-BD72-572688D71A0D}"/>
    <cellStyle name="Normal 2 4 2 4 2 2 5 4" xfId="10569" xr:uid="{96FA23B8-A182-493C-9B27-212D7A45DD9D}"/>
    <cellStyle name="Normal 2 4 2 4 2 2 5 5" xfId="19017" xr:uid="{41CD2DE0-7C11-4C19-A548-3F019AC23EEC}"/>
    <cellStyle name="Normal 2 4 2 4 2 2 6" xfId="2467" xr:uid="{00000000-0005-0000-0000-0000490F0000}"/>
    <cellStyle name="Normal 2 4 2 4 2 2 6 2" xfId="6750" xr:uid="{00000000-0005-0000-0000-00004A0F0000}"/>
    <cellStyle name="Normal 2 4 2 4 2 2 6 2 2" xfId="15200" xr:uid="{914999E6-55B1-4E08-8249-9EFB89A90BD1}"/>
    <cellStyle name="Normal 2 4 2 4 2 2 6 2 3" xfId="23647" xr:uid="{A84C792E-CBF2-47F6-9DE2-1A97B5A1B6E7}"/>
    <cellStyle name="Normal 2 4 2 4 2 2 6 3" xfId="10982" xr:uid="{73505D53-ED94-4886-910E-B72271597F85}"/>
    <cellStyle name="Normal 2 4 2 4 2 2 6 4" xfId="19430" xr:uid="{9C4F5C6D-D720-4B80-A8F4-E242F805E0F4}"/>
    <cellStyle name="Normal 2 4 2 4 2 2 7" xfId="4684" xr:uid="{00000000-0005-0000-0000-00004B0F0000}"/>
    <cellStyle name="Normal 2 4 2 4 2 2 7 2" xfId="13134" xr:uid="{DA01559C-5BAB-4E9D-8B0E-3D80B59C238D}"/>
    <cellStyle name="Normal 2 4 2 4 2 2 7 3" xfId="21581" xr:uid="{2BC959FF-DB1F-41D9-BD9A-6A0E0BF483AC}"/>
    <cellStyle name="Normal 2 4 2 4 2 2 8" xfId="8916" xr:uid="{F2660AEE-B48D-4A61-83E4-0E613D0E6BFA}"/>
    <cellStyle name="Normal 2 4 2 4 2 2 9" xfId="17364" xr:uid="{0AB5524F-A7AB-421A-B39F-8925796957AE}"/>
    <cellStyle name="Normal 2 4 2 4 2 3" xfId="781" xr:uid="{00000000-0005-0000-0000-00004C0F0000}"/>
    <cellStyle name="Normal 2 4 2 4 2 3 2" xfId="3020" xr:uid="{00000000-0005-0000-0000-00004D0F0000}"/>
    <cellStyle name="Normal 2 4 2 4 2 3 2 2" xfId="7242" xr:uid="{00000000-0005-0000-0000-00004E0F0000}"/>
    <cellStyle name="Normal 2 4 2 4 2 3 2 2 2" xfId="15692" xr:uid="{3DD85140-8CB1-43EA-ADC6-722CBFFDED91}"/>
    <cellStyle name="Normal 2 4 2 4 2 3 2 2 3" xfId="24139" xr:uid="{342F4CF9-98BF-4B70-BD82-391E48C2E453}"/>
    <cellStyle name="Normal 2 4 2 4 2 3 2 3" xfId="11474" xr:uid="{ECBF4753-369B-462A-B496-F3F2E656C468}"/>
    <cellStyle name="Normal 2 4 2 4 2 3 2 4" xfId="19922" xr:uid="{F0935810-5F72-4CCA-93CC-50983DA75516}"/>
    <cellStyle name="Normal 2 4 2 4 2 3 3" xfId="5097" xr:uid="{00000000-0005-0000-0000-00004F0F0000}"/>
    <cellStyle name="Normal 2 4 2 4 2 3 3 2" xfId="13547" xr:uid="{B1EC1B98-8F74-4731-BEBB-EE18DA73B645}"/>
    <cellStyle name="Normal 2 4 2 4 2 3 3 3" xfId="21994" xr:uid="{46B271B0-E99D-49F4-AAF2-E5E64250EC7C}"/>
    <cellStyle name="Normal 2 4 2 4 2 3 4" xfId="9329" xr:uid="{BF7403BF-FABB-47B3-8EDA-A4DFC107549D}"/>
    <cellStyle name="Normal 2 4 2 4 2 3 5" xfId="17777" xr:uid="{F027ECFA-611F-43A0-9174-8D600B1C237B}"/>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2 2 2" xfId="16105" xr:uid="{C0D096F3-15DE-40CB-969A-BFAAE3BE138F}"/>
    <cellStyle name="Normal 2 4 2 4 2 4 2 2 3" xfId="24552" xr:uid="{CD589CF4-BAFF-4DF5-9FF8-22B807C84957}"/>
    <cellStyle name="Normal 2 4 2 4 2 4 2 3" xfId="11887" xr:uid="{18486324-DD2C-4997-BD00-1DC0C728FA3C}"/>
    <cellStyle name="Normal 2 4 2 4 2 4 2 4" xfId="20335" xr:uid="{D3A16157-9E58-46B2-A035-58FECEA238FA}"/>
    <cellStyle name="Normal 2 4 2 4 2 4 3" xfId="5510" xr:uid="{00000000-0005-0000-0000-0000530F0000}"/>
    <cellStyle name="Normal 2 4 2 4 2 4 3 2" xfId="13960" xr:uid="{F8BA50A4-5363-42D5-8EFD-40B9040A01CC}"/>
    <cellStyle name="Normal 2 4 2 4 2 4 3 3" xfId="22407" xr:uid="{512A70BD-6B00-4236-89B5-E8B34A0E5732}"/>
    <cellStyle name="Normal 2 4 2 4 2 4 4" xfId="9742" xr:uid="{2373E48A-FEE1-4EA9-B376-9DECB11169D8}"/>
    <cellStyle name="Normal 2 4 2 4 2 4 5" xfId="18190" xr:uid="{D7BC487C-B38F-48A3-B667-99E83D99E09D}"/>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2 2 2" xfId="16518" xr:uid="{E88055BE-E5FE-4984-AFD7-8742B3E6D3EA}"/>
    <cellStyle name="Normal 2 4 2 4 2 5 2 2 3" xfId="24965" xr:uid="{9B0CE332-0D48-408F-BF10-B9DB351407B0}"/>
    <cellStyle name="Normal 2 4 2 4 2 5 2 3" xfId="12300" xr:uid="{5637C318-DE7F-4FBE-8916-1CF4BE4EE7FD}"/>
    <cellStyle name="Normal 2 4 2 4 2 5 2 4" xfId="20748" xr:uid="{4B022CA5-C1F2-4955-83CE-1DB8CF805396}"/>
    <cellStyle name="Normal 2 4 2 4 2 5 3" xfId="5923" xr:uid="{00000000-0005-0000-0000-0000570F0000}"/>
    <cellStyle name="Normal 2 4 2 4 2 5 3 2" xfId="14373" xr:uid="{6BEBA287-CC25-4415-BDBE-FED9B46C504E}"/>
    <cellStyle name="Normal 2 4 2 4 2 5 3 3" xfId="22820" xr:uid="{3D94734E-A858-4972-B601-BE4BC37742B9}"/>
    <cellStyle name="Normal 2 4 2 4 2 5 4" xfId="10155" xr:uid="{AC4DDE01-D79B-481C-A83D-767BDE7DF496}"/>
    <cellStyle name="Normal 2 4 2 4 2 5 5" xfId="18603" xr:uid="{3F1A3E80-3A0F-4590-89F3-F88573009F9C}"/>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2 2 2" xfId="16931" xr:uid="{85E5591F-E14D-4CBD-A507-05182B5969C8}"/>
    <cellStyle name="Normal 2 4 2 4 2 6 2 2 3" xfId="25378" xr:uid="{9EF01452-A304-4E5F-9B8D-8978F4BFC2CC}"/>
    <cellStyle name="Normal 2 4 2 4 2 6 2 3" xfId="12713" xr:uid="{841F2802-6816-4BF7-8460-1E5854DF8C8B}"/>
    <cellStyle name="Normal 2 4 2 4 2 6 2 4" xfId="21161" xr:uid="{13517DDF-BB25-427F-8F16-2943FD3DEE0A}"/>
    <cellStyle name="Normal 2 4 2 4 2 6 3" xfId="6336" xr:uid="{00000000-0005-0000-0000-00005B0F0000}"/>
    <cellStyle name="Normal 2 4 2 4 2 6 3 2" xfId="14786" xr:uid="{5F063927-36CD-4861-AB39-B88FD5753DDD}"/>
    <cellStyle name="Normal 2 4 2 4 2 6 3 3" xfId="23233" xr:uid="{7EE5D10C-264D-4E35-81F0-5CF4C6CB4384}"/>
    <cellStyle name="Normal 2 4 2 4 2 6 4" xfId="10568" xr:uid="{33E5DB65-3DFC-4EE2-B90F-104E7B568AEC}"/>
    <cellStyle name="Normal 2 4 2 4 2 6 5" xfId="19016" xr:uid="{52389151-52FB-46F2-BEA7-B2D1E064FCB8}"/>
    <cellStyle name="Normal 2 4 2 4 2 7" xfId="2466" xr:uid="{00000000-0005-0000-0000-00005C0F0000}"/>
    <cellStyle name="Normal 2 4 2 4 2 7 2" xfId="6749" xr:uid="{00000000-0005-0000-0000-00005D0F0000}"/>
    <cellStyle name="Normal 2 4 2 4 2 7 2 2" xfId="15199" xr:uid="{2645CEF4-10AD-4CDB-B3DE-32D6F5573505}"/>
    <cellStyle name="Normal 2 4 2 4 2 7 2 3" xfId="23646" xr:uid="{DCD9AECF-8F71-4330-A21D-6677F17895D3}"/>
    <cellStyle name="Normal 2 4 2 4 2 7 3" xfId="10981" xr:uid="{E2635D97-AB85-47FA-90E7-BA1923150596}"/>
    <cellStyle name="Normal 2 4 2 4 2 7 4" xfId="19429" xr:uid="{67B6CBF7-C8ED-4F38-98E5-50F4CE1EAC8D}"/>
    <cellStyle name="Normal 2 4 2 4 2 8" xfId="4683" xr:uid="{00000000-0005-0000-0000-00005E0F0000}"/>
    <cellStyle name="Normal 2 4 2 4 2 8 2" xfId="13133" xr:uid="{3CA8C81F-5FD5-4617-8671-C27B6D521040}"/>
    <cellStyle name="Normal 2 4 2 4 2 8 3" xfId="21580" xr:uid="{A9ED23E7-A53E-4F24-A30B-B73EE673FDB1}"/>
    <cellStyle name="Normal 2 4 2 4 2 9" xfId="8915" xr:uid="{851F7D90-4C3F-4B76-8A79-3573C3399137}"/>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2 2 2" xfId="15694" xr:uid="{38023054-ABB5-4FA3-AEB1-CD13BA1169D8}"/>
    <cellStyle name="Normal 2 4 2 4 3 2 2 2 3" xfId="24141" xr:uid="{CB136348-F999-4390-A94C-500A6B2C9924}"/>
    <cellStyle name="Normal 2 4 2 4 3 2 2 3" xfId="11476" xr:uid="{22DB96AB-40D5-4708-A3C5-2BFC3C101557}"/>
    <cellStyle name="Normal 2 4 2 4 3 2 2 4" xfId="19924" xr:uid="{52529728-E929-4085-AC49-6DC67C8300E9}"/>
    <cellStyle name="Normal 2 4 2 4 3 2 3" xfId="5099" xr:uid="{00000000-0005-0000-0000-0000630F0000}"/>
    <cellStyle name="Normal 2 4 2 4 3 2 3 2" xfId="13549" xr:uid="{6DECF8EF-E28F-4563-874F-F16206DE4DE3}"/>
    <cellStyle name="Normal 2 4 2 4 3 2 3 3" xfId="21996" xr:uid="{EA04A42F-F3B4-421B-BE5A-8D2C5FA28080}"/>
    <cellStyle name="Normal 2 4 2 4 3 2 4" xfId="9331" xr:uid="{C8BB926D-489F-43FF-8908-F402A226FD7E}"/>
    <cellStyle name="Normal 2 4 2 4 3 2 5" xfId="17779" xr:uid="{EE57BFAB-A0B7-4136-BFAC-95C2F8DC5B47}"/>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2 2 2" xfId="16107" xr:uid="{1107C0DA-9716-4716-8BCD-41CE1E6E0BF2}"/>
    <cellStyle name="Normal 2 4 2 4 3 3 2 2 3" xfId="24554" xr:uid="{D84DE1F3-6247-437D-8E7E-D6CDCF1D8AE1}"/>
    <cellStyle name="Normal 2 4 2 4 3 3 2 3" xfId="11889" xr:uid="{353CE3BE-BF0C-4AF4-AA5D-3F72B65742FA}"/>
    <cellStyle name="Normal 2 4 2 4 3 3 2 4" xfId="20337" xr:uid="{A5BEC5A0-CFE5-4A16-A62E-3FF18A56B4E7}"/>
    <cellStyle name="Normal 2 4 2 4 3 3 3" xfId="5512" xr:uid="{00000000-0005-0000-0000-0000670F0000}"/>
    <cellStyle name="Normal 2 4 2 4 3 3 3 2" xfId="13962" xr:uid="{1EEFE82B-FD95-4258-80EF-DB2ED88B4DAC}"/>
    <cellStyle name="Normal 2 4 2 4 3 3 3 3" xfId="22409" xr:uid="{C049A22E-4D12-4CED-A61F-905B6798EFCB}"/>
    <cellStyle name="Normal 2 4 2 4 3 3 4" xfId="9744" xr:uid="{7AC75CCC-2739-4550-8C62-ED1E147845C1}"/>
    <cellStyle name="Normal 2 4 2 4 3 3 5" xfId="18192" xr:uid="{5CB6D93D-6AB6-4D35-916F-81AAA42065FB}"/>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2 2 2" xfId="16520" xr:uid="{F69E1644-9AB4-4A48-8C8E-029731832498}"/>
    <cellStyle name="Normal 2 4 2 4 3 4 2 2 3" xfId="24967" xr:uid="{12B020F4-CE40-4E63-B383-42CAA7C558EF}"/>
    <cellStyle name="Normal 2 4 2 4 3 4 2 3" xfId="12302" xr:uid="{7B9A20F1-413C-4E8B-8489-590494D8CE39}"/>
    <cellStyle name="Normal 2 4 2 4 3 4 2 4" xfId="20750" xr:uid="{1950BC94-4630-4012-AC91-99D6D61ECEEE}"/>
    <cellStyle name="Normal 2 4 2 4 3 4 3" xfId="5925" xr:uid="{00000000-0005-0000-0000-00006B0F0000}"/>
    <cellStyle name="Normal 2 4 2 4 3 4 3 2" xfId="14375" xr:uid="{0BD35DD0-50CA-448E-8DA3-56F525467D55}"/>
    <cellStyle name="Normal 2 4 2 4 3 4 3 3" xfId="22822" xr:uid="{1901A891-8CB6-4E11-BF91-476B7882BC20}"/>
    <cellStyle name="Normal 2 4 2 4 3 4 4" xfId="10157" xr:uid="{7E08CB3E-D670-4168-8348-F0E37A6CBC9C}"/>
    <cellStyle name="Normal 2 4 2 4 3 4 5" xfId="18605" xr:uid="{E6877906-9BD1-415A-B7CA-B53D72622D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2 2 2" xfId="16933" xr:uid="{790143F9-019C-4C7D-8FF4-4C6759966B93}"/>
    <cellStyle name="Normal 2 4 2 4 3 5 2 2 3" xfId="25380" xr:uid="{4E0F1B1C-843B-4CCC-B36D-E68AECFC92C1}"/>
    <cellStyle name="Normal 2 4 2 4 3 5 2 3" xfId="12715" xr:uid="{42D8E0BF-1A31-4D4D-88DA-8F656F50F7C1}"/>
    <cellStyle name="Normal 2 4 2 4 3 5 2 4" xfId="21163" xr:uid="{3DA73688-0E96-4A79-B468-00295EF48C7F}"/>
    <cellStyle name="Normal 2 4 2 4 3 5 3" xfId="6338" xr:uid="{00000000-0005-0000-0000-00006F0F0000}"/>
    <cellStyle name="Normal 2 4 2 4 3 5 3 2" xfId="14788" xr:uid="{EEE130CA-2D3F-4860-B031-8CF975664952}"/>
    <cellStyle name="Normal 2 4 2 4 3 5 3 3" xfId="23235" xr:uid="{A9FAF169-B8EC-4038-8A57-A7005D4F9847}"/>
    <cellStyle name="Normal 2 4 2 4 3 5 4" xfId="10570" xr:uid="{774F4B54-8165-46AA-B248-F4F785844629}"/>
    <cellStyle name="Normal 2 4 2 4 3 5 5" xfId="19018" xr:uid="{3D3F758C-0D52-4BAF-AED2-E291997D46E1}"/>
    <cellStyle name="Normal 2 4 2 4 3 6" xfId="2468" xr:uid="{00000000-0005-0000-0000-0000700F0000}"/>
    <cellStyle name="Normal 2 4 2 4 3 6 2" xfId="6751" xr:uid="{00000000-0005-0000-0000-0000710F0000}"/>
    <cellStyle name="Normal 2 4 2 4 3 6 2 2" xfId="15201" xr:uid="{FA296BC9-964C-4D7A-91D0-F062D06721FC}"/>
    <cellStyle name="Normal 2 4 2 4 3 6 2 3" xfId="23648" xr:uid="{A2DFFEDF-BC98-4595-B626-96BF2717F81E}"/>
    <cellStyle name="Normal 2 4 2 4 3 6 3" xfId="10983" xr:uid="{E53E5DCA-621B-432C-A4AB-E58FF9CFF7C7}"/>
    <cellStyle name="Normal 2 4 2 4 3 6 4" xfId="19431" xr:uid="{A4EC9E8E-C25E-4149-BCCB-44E25A4E651A}"/>
    <cellStyle name="Normal 2 4 2 4 3 7" xfId="4685" xr:uid="{00000000-0005-0000-0000-0000720F0000}"/>
    <cellStyle name="Normal 2 4 2 4 3 7 2" xfId="13135" xr:uid="{1A4BA978-6A04-4C54-A5EA-2969EF9CEE39}"/>
    <cellStyle name="Normal 2 4 2 4 3 7 3" xfId="21582" xr:uid="{5F658FFB-E8AD-4C7D-AA5B-09D58645F869}"/>
    <cellStyle name="Normal 2 4 2 4 3 8" xfId="8917" xr:uid="{6443A6D7-9E53-4885-ABB2-6FB8DD39CB24}"/>
    <cellStyle name="Normal 2 4 2 4 3 9" xfId="17365" xr:uid="{99731974-1740-4300-9AA3-FB268B9BA675}"/>
    <cellStyle name="Normal 2 4 2 4 4" xfId="780" xr:uid="{00000000-0005-0000-0000-0000730F0000}"/>
    <cellStyle name="Normal 2 4 2 4 4 2" xfId="3019" xr:uid="{00000000-0005-0000-0000-0000740F0000}"/>
    <cellStyle name="Normal 2 4 2 4 4 2 2" xfId="7241" xr:uid="{00000000-0005-0000-0000-0000750F0000}"/>
    <cellStyle name="Normal 2 4 2 4 4 2 2 2" xfId="15691" xr:uid="{23B6E5E9-CA24-40E1-B0E3-F0462328A3EC}"/>
    <cellStyle name="Normal 2 4 2 4 4 2 2 3" xfId="24138" xr:uid="{1AF504DC-F293-4B70-BB62-C98524F4AEFC}"/>
    <cellStyle name="Normal 2 4 2 4 4 2 3" xfId="11473" xr:uid="{266C98FA-2EBB-40B7-AC17-587CA46B9574}"/>
    <cellStyle name="Normal 2 4 2 4 4 2 4" xfId="19921" xr:uid="{CE9E3CD6-B436-418D-AF92-851F24826FC9}"/>
    <cellStyle name="Normal 2 4 2 4 4 3" xfId="5096" xr:uid="{00000000-0005-0000-0000-0000760F0000}"/>
    <cellStyle name="Normal 2 4 2 4 4 3 2" xfId="13546" xr:uid="{46140D76-8580-477A-8AE1-1C58D573FFFD}"/>
    <cellStyle name="Normal 2 4 2 4 4 3 3" xfId="21993" xr:uid="{983FDB05-5985-4455-AE2A-AE3B4C2A6A15}"/>
    <cellStyle name="Normal 2 4 2 4 4 4" xfId="9328" xr:uid="{5D60E9B3-7645-48AD-8607-A138D05749D5}"/>
    <cellStyle name="Normal 2 4 2 4 4 5" xfId="17776" xr:uid="{F05AFD26-703D-44F9-8B53-D08811352974}"/>
    <cellStyle name="Normal 2 4 2 4 5" xfId="1202" xr:uid="{00000000-0005-0000-0000-0000770F0000}"/>
    <cellStyle name="Normal 2 4 2 4 5 2" xfId="3432" xr:uid="{00000000-0005-0000-0000-0000780F0000}"/>
    <cellStyle name="Normal 2 4 2 4 5 2 2" xfId="7654" xr:uid="{00000000-0005-0000-0000-0000790F0000}"/>
    <cellStyle name="Normal 2 4 2 4 5 2 2 2" xfId="16104" xr:uid="{08C3D3BB-0884-4C32-B3D2-5E110B64EB91}"/>
    <cellStyle name="Normal 2 4 2 4 5 2 2 3" xfId="24551" xr:uid="{F9BF0F5E-B3B8-4D67-BEFB-2A5B1B8E358E}"/>
    <cellStyle name="Normal 2 4 2 4 5 2 3" xfId="11886" xr:uid="{3F44B9D2-CAEE-4D51-A955-AD5A8F478F94}"/>
    <cellStyle name="Normal 2 4 2 4 5 2 4" xfId="20334" xr:uid="{D872ECF1-FF4C-482E-8923-FE47B4DD6B91}"/>
    <cellStyle name="Normal 2 4 2 4 5 3" xfId="5509" xr:uid="{00000000-0005-0000-0000-00007A0F0000}"/>
    <cellStyle name="Normal 2 4 2 4 5 3 2" xfId="13959" xr:uid="{C8E8E68A-8D21-488F-ABE0-E3736DEE4AB2}"/>
    <cellStyle name="Normal 2 4 2 4 5 3 3" xfId="22406" xr:uid="{A4BC8C3E-EC49-4C98-9E7B-0AD05EABF182}"/>
    <cellStyle name="Normal 2 4 2 4 5 4" xfId="9741" xr:uid="{3526ECB3-34E2-481E-956A-9175FA3732B3}"/>
    <cellStyle name="Normal 2 4 2 4 5 5" xfId="18189" xr:uid="{80358A46-DF41-4610-A4B1-0E680A29C1E0}"/>
    <cellStyle name="Normal 2 4 2 4 6" xfId="1615" xr:uid="{00000000-0005-0000-0000-00007B0F0000}"/>
    <cellStyle name="Normal 2 4 2 4 6 2" xfId="3845" xr:uid="{00000000-0005-0000-0000-00007C0F0000}"/>
    <cellStyle name="Normal 2 4 2 4 6 2 2" xfId="8067" xr:uid="{00000000-0005-0000-0000-00007D0F0000}"/>
    <cellStyle name="Normal 2 4 2 4 6 2 2 2" xfId="16517" xr:uid="{CE2F89E3-F062-46DA-B07F-2162258D9A50}"/>
    <cellStyle name="Normal 2 4 2 4 6 2 2 3" xfId="24964" xr:uid="{5568B83B-9B93-4947-97CB-F41B0CD1281F}"/>
    <cellStyle name="Normal 2 4 2 4 6 2 3" xfId="12299" xr:uid="{AD0DA105-E938-4194-82AA-753106A53F0E}"/>
    <cellStyle name="Normal 2 4 2 4 6 2 4" xfId="20747" xr:uid="{2AF84CA7-CCD2-4DCC-A00B-A608DE5A544E}"/>
    <cellStyle name="Normal 2 4 2 4 6 3" xfId="5922" xr:uid="{00000000-0005-0000-0000-00007E0F0000}"/>
    <cellStyle name="Normal 2 4 2 4 6 3 2" xfId="14372" xr:uid="{55922ED0-59AF-489A-ACB6-2065FCA4E48D}"/>
    <cellStyle name="Normal 2 4 2 4 6 3 3" xfId="22819" xr:uid="{7C5876D6-D5FA-42E3-ABC7-E14A154DD255}"/>
    <cellStyle name="Normal 2 4 2 4 6 4" xfId="10154" xr:uid="{38C002F3-EAB8-4CF6-B3AE-EC25B4D56D24}"/>
    <cellStyle name="Normal 2 4 2 4 6 5" xfId="18602" xr:uid="{7CE9638C-01B0-4C80-9BCD-BEDDE2D99CA3}"/>
    <cellStyle name="Normal 2 4 2 4 7" xfId="2029" xr:uid="{00000000-0005-0000-0000-00007F0F0000}"/>
    <cellStyle name="Normal 2 4 2 4 7 2" xfId="4258" xr:uid="{00000000-0005-0000-0000-0000800F0000}"/>
    <cellStyle name="Normal 2 4 2 4 7 2 2" xfId="8480" xr:uid="{00000000-0005-0000-0000-0000810F0000}"/>
    <cellStyle name="Normal 2 4 2 4 7 2 2 2" xfId="16930" xr:uid="{2C6143D5-0FBF-4560-9A30-D57280FE7EA8}"/>
    <cellStyle name="Normal 2 4 2 4 7 2 2 3" xfId="25377" xr:uid="{62E94D75-4ACA-4C52-84CF-5180DBAE8F33}"/>
    <cellStyle name="Normal 2 4 2 4 7 2 3" xfId="12712" xr:uid="{D26B0D8D-7076-402A-B4CD-172C3361CB85}"/>
    <cellStyle name="Normal 2 4 2 4 7 2 4" xfId="21160" xr:uid="{895B58D3-FB62-43BC-A755-F0DA1203522E}"/>
    <cellStyle name="Normal 2 4 2 4 7 3" xfId="6335" xr:uid="{00000000-0005-0000-0000-0000820F0000}"/>
    <cellStyle name="Normal 2 4 2 4 7 3 2" xfId="14785" xr:uid="{75C75EB3-2413-4E98-9C55-D0D4CC26780B}"/>
    <cellStyle name="Normal 2 4 2 4 7 3 3" xfId="23232" xr:uid="{02CEB611-8E02-46A4-9A0E-D7859639C03E}"/>
    <cellStyle name="Normal 2 4 2 4 7 4" xfId="10567" xr:uid="{DC0F6D79-5B0B-42DF-B0C4-D327CA6DB5F0}"/>
    <cellStyle name="Normal 2 4 2 4 7 5" xfId="19015" xr:uid="{1850214C-1196-4CB9-BF60-B8F48F454EE8}"/>
    <cellStyle name="Normal 2 4 2 4 8" xfId="2465" xr:uid="{00000000-0005-0000-0000-0000830F0000}"/>
    <cellStyle name="Normal 2 4 2 4 8 2" xfId="6748" xr:uid="{00000000-0005-0000-0000-0000840F0000}"/>
    <cellStyle name="Normal 2 4 2 4 8 2 2" xfId="15198" xr:uid="{83D2F1FA-94E6-48FD-B97D-9660E9022923}"/>
    <cellStyle name="Normal 2 4 2 4 8 2 3" xfId="23645" xr:uid="{E05E7106-4D1D-49E7-BE36-DE65097176A9}"/>
    <cellStyle name="Normal 2 4 2 4 8 3" xfId="10980" xr:uid="{179F1C66-91CD-4AE9-B90A-99AE1F643B44}"/>
    <cellStyle name="Normal 2 4 2 4 8 4" xfId="19428" xr:uid="{7A46F8B0-507D-45A4-98D3-8358CFD300C6}"/>
    <cellStyle name="Normal 2 4 2 4 9" xfId="4682" xr:uid="{00000000-0005-0000-0000-0000850F0000}"/>
    <cellStyle name="Normal 2 4 2 4 9 2" xfId="13132" xr:uid="{4D9AD15A-53F1-4226-AF01-EA502D02125E}"/>
    <cellStyle name="Normal 2 4 2 4 9 3" xfId="21579" xr:uid="{79E04943-E697-420C-8D2B-8F0CF8849E19}"/>
    <cellStyle name="Normal 2 4 2 5" xfId="293" xr:uid="{00000000-0005-0000-0000-0000860F0000}"/>
    <cellStyle name="Normal 2 4 2 5 10" xfId="17366" xr:uid="{22803095-5847-477F-BF20-70C8EEE33F37}"/>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2 2 2" xfId="15696" xr:uid="{1A43F3D8-E126-4E10-894A-E4A4DCD4F81A}"/>
    <cellStyle name="Normal 2 4 2 5 2 2 2 2 3" xfId="24143" xr:uid="{B8849C93-DFA0-492F-B9DC-EF533392AAFF}"/>
    <cellStyle name="Normal 2 4 2 5 2 2 2 3" xfId="11478" xr:uid="{5B76BF5B-58D9-4A54-ABA0-6EF24E7E5C2F}"/>
    <cellStyle name="Normal 2 4 2 5 2 2 2 4" xfId="19926" xr:uid="{9206876F-C2BB-4793-B77F-3BEB1303AF9E}"/>
    <cellStyle name="Normal 2 4 2 5 2 2 3" xfId="5101" xr:uid="{00000000-0005-0000-0000-00008B0F0000}"/>
    <cellStyle name="Normal 2 4 2 5 2 2 3 2" xfId="13551" xr:uid="{0170631B-2130-420C-8280-0516E3BCFFF0}"/>
    <cellStyle name="Normal 2 4 2 5 2 2 3 3" xfId="21998" xr:uid="{F6C93B1D-B389-43B3-B96B-9CB00E99C314}"/>
    <cellStyle name="Normal 2 4 2 5 2 2 4" xfId="9333" xr:uid="{EB725E12-A125-496E-9341-99B4B3B4BCD3}"/>
    <cellStyle name="Normal 2 4 2 5 2 2 5" xfId="17781" xr:uid="{5A4F9AB0-C78E-477C-A578-1CF85F215A26}"/>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2 2 2" xfId="16109" xr:uid="{DF2722E6-729F-4C67-A190-895A7D5EEFCE}"/>
    <cellStyle name="Normal 2 4 2 5 2 3 2 2 3" xfId="24556" xr:uid="{704E9BEA-B079-42A2-B61A-9ADC465E99AC}"/>
    <cellStyle name="Normal 2 4 2 5 2 3 2 3" xfId="11891" xr:uid="{75A9669D-07BC-4ED0-A5FB-862D8B8F14C4}"/>
    <cellStyle name="Normal 2 4 2 5 2 3 2 4" xfId="20339" xr:uid="{F5361118-EB53-4BC2-BDFC-8DC9D1714273}"/>
    <cellStyle name="Normal 2 4 2 5 2 3 3" xfId="5514" xr:uid="{00000000-0005-0000-0000-00008F0F0000}"/>
    <cellStyle name="Normal 2 4 2 5 2 3 3 2" xfId="13964" xr:uid="{99DD26F5-BF16-413A-B9F9-629F3BDFA4E4}"/>
    <cellStyle name="Normal 2 4 2 5 2 3 3 3" xfId="22411" xr:uid="{91788FB3-D959-4918-85E6-0E7AF251DD9C}"/>
    <cellStyle name="Normal 2 4 2 5 2 3 4" xfId="9746" xr:uid="{68E1C08E-A7D3-4033-B77C-DCFF5F041EBE}"/>
    <cellStyle name="Normal 2 4 2 5 2 3 5" xfId="18194" xr:uid="{DF938BC9-3DFE-4A49-B3BA-E536704F53C4}"/>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2 2 2" xfId="16522" xr:uid="{AC6A4FB2-572E-49A8-9FE7-7266DC7C04C8}"/>
    <cellStyle name="Normal 2 4 2 5 2 4 2 2 3" xfId="24969" xr:uid="{2EDF0D40-1460-4C26-B8DC-4AC69F2D13BE}"/>
    <cellStyle name="Normal 2 4 2 5 2 4 2 3" xfId="12304" xr:uid="{73782408-18E3-47A9-A28E-C88084ECB00B}"/>
    <cellStyle name="Normal 2 4 2 5 2 4 2 4" xfId="20752" xr:uid="{3EC5ECD0-828E-44B7-BC8D-D7D408435D80}"/>
    <cellStyle name="Normal 2 4 2 5 2 4 3" xfId="5927" xr:uid="{00000000-0005-0000-0000-0000930F0000}"/>
    <cellStyle name="Normal 2 4 2 5 2 4 3 2" xfId="14377" xr:uid="{B50FF90B-F92A-4BFA-B22F-50F5CFDC8A99}"/>
    <cellStyle name="Normal 2 4 2 5 2 4 3 3" xfId="22824" xr:uid="{EEEAA268-8B59-432B-AEBA-AEE3A20C0DA1}"/>
    <cellStyle name="Normal 2 4 2 5 2 4 4" xfId="10159" xr:uid="{15F337C8-E143-4767-A41E-AEF13B4DD9A1}"/>
    <cellStyle name="Normal 2 4 2 5 2 4 5" xfId="18607" xr:uid="{A3A0BACC-F762-45A2-9A80-E0E910C8D98D}"/>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2 2 2" xfId="16935" xr:uid="{2D03D130-1917-49A3-A050-B1FFE239A269}"/>
    <cellStyle name="Normal 2 4 2 5 2 5 2 2 3" xfId="25382" xr:uid="{26B47F49-E793-4BAC-9C4C-77858009567A}"/>
    <cellStyle name="Normal 2 4 2 5 2 5 2 3" xfId="12717" xr:uid="{8EFBEA7F-3666-4C44-875B-C3093546EE28}"/>
    <cellStyle name="Normal 2 4 2 5 2 5 2 4" xfId="21165" xr:uid="{B5799BEA-BE49-41F8-B522-C09366BAA89E}"/>
    <cellStyle name="Normal 2 4 2 5 2 5 3" xfId="6340" xr:uid="{00000000-0005-0000-0000-0000970F0000}"/>
    <cellStyle name="Normal 2 4 2 5 2 5 3 2" xfId="14790" xr:uid="{890BF607-C198-4AD3-8FDA-07EA7F184B07}"/>
    <cellStyle name="Normal 2 4 2 5 2 5 3 3" xfId="23237" xr:uid="{1AB36ACB-606D-4222-9366-D0780CA5B617}"/>
    <cellStyle name="Normal 2 4 2 5 2 5 4" xfId="10572" xr:uid="{59E4A0DB-E6C7-487E-BEA3-6BE866AD2582}"/>
    <cellStyle name="Normal 2 4 2 5 2 5 5" xfId="19020" xr:uid="{91E6A39D-2DEF-46CD-8540-610D4B8C47B9}"/>
    <cellStyle name="Normal 2 4 2 5 2 6" xfId="2470" xr:uid="{00000000-0005-0000-0000-0000980F0000}"/>
    <cellStyle name="Normal 2 4 2 5 2 6 2" xfId="6753" xr:uid="{00000000-0005-0000-0000-0000990F0000}"/>
    <cellStyle name="Normal 2 4 2 5 2 6 2 2" xfId="15203" xr:uid="{6B4E2020-EE44-4813-BBA7-C9FAE4589F12}"/>
    <cellStyle name="Normal 2 4 2 5 2 6 2 3" xfId="23650" xr:uid="{D3750C1D-7A2B-4B73-BDDE-A8E02694F82B}"/>
    <cellStyle name="Normal 2 4 2 5 2 6 3" xfId="10985" xr:uid="{4506615B-BEA5-4BD6-9F9D-367B6FA0C920}"/>
    <cellStyle name="Normal 2 4 2 5 2 6 4" xfId="19433" xr:uid="{38814D92-09C8-42DC-8F22-92385EBE7AAD}"/>
    <cellStyle name="Normal 2 4 2 5 2 7" xfId="4687" xr:uid="{00000000-0005-0000-0000-00009A0F0000}"/>
    <cellStyle name="Normal 2 4 2 5 2 7 2" xfId="13137" xr:uid="{152610AF-A88C-4B7C-A49B-BCEE29C30C80}"/>
    <cellStyle name="Normal 2 4 2 5 2 7 3" xfId="21584" xr:uid="{DB0F6CF0-11BE-4B9A-A998-6AD915B0D39F}"/>
    <cellStyle name="Normal 2 4 2 5 2 8" xfId="8919" xr:uid="{2E07942F-09D8-4270-9D30-9ADFA2CF88B0}"/>
    <cellStyle name="Normal 2 4 2 5 2 9" xfId="17367" xr:uid="{BD023B45-E6BF-4C21-AA69-28DDFBC06F55}"/>
    <cellStyle name="Normal 2 4 2 5 3" xfId="784" xr:uid="{00000000-0005-0000-0000-00009B0F0000}"/>
    <cellStyle name="Normal 2 4 2 5 3 2" xfId="3023" xr:uid="{00000000-0005-0000-0000-00009C0F0000}"/>
    <cellStyle name="Normal 2 4 2 5 3 2 2" xfId="7245" xr:uid="{00000000-0005-0000-0000-00009D0F0000}"/>
    <cellStyle name="Normal 2 4 2 5 3 2 2 2" xfId="15695" xr:uid="{9670E857-8F5A-4679-8AFD-C2470FC04D18}"/>
    <cellStyle name="Normal 2 4 2 5 3 2 2 3" xfId="24142" xr:uid="{F2AD4401-382E-4ED4-9C5A-080E91BDE501}"/>
    <cellStyle name="Normal 2 4 2 5 3 2 3" xfId="11477" xr:uid="{7F95FC62-9830-4568-ADE3-0EB3044675BD}"/>
    <cellStyle name="Normal 2 4 2 5 3 2 4" xfId="19925" xr:uid="{DE998951-2A5F-4510-83E2-B528C296B3CD}"/>
    <cellStyle name="Normal 2 4 2 5 3 3" xfId="5100" xr:uid="{00000000-0005-0000-0000-00009E0F0000}"/>
    <cellStyle name="Normal 2 4 2 5 3 3 2" xfId="13550" xr:uid="{15C6DFDE-C2F3-407C-9769-7771E545CEC2}"/>
    <cellStyle name="Normal 2 4 2 5 3 3 3" xfId="21997" xr:uid="{7C6B0534-F747-4DC2-8E34-640BB22901F4}"/>
    <cellStyle name="Normal 2 4 2 5 3 4" xfId="9332" xr:uid="{5B5DE915-E22C-423A-8297-34F74E636214}"/>
    <cellStyle name="Normal 2 4 2 5 3 5" xfId="17780" xr:uid="{5928DFB6-E15D-416E-8ED1-1F1F511111E2}"/>
    <cellStyle name="Normal 2 4 2 5 4" xfId="1206" xr:uid="{00000000-0005-0000-0000-00009F0F0000}"/>
    <cellStyle name="Normal 2 4 2 5 4 2" xfId="3436" xr:uid="{00000000-0005-0000-0000-0000A00F0000}"/>
    <cellStyle name="Normal 2 4 2 5 4 2 2" xfId="7658" xr:uid="{00000000-0005-0000-0000-0000A10F0000}"/>
    <cellStyle name="Normal 2 4 2 5 4 2 2 2" xfId="16108" xr:uid="{B4B08A93-3B87-4867-ACEF-39D08CA959DF}"/>
    <cellStyle name="Normal 2 4 2 5 4 2 2 3" xfId="24555" xr:uid="{5FE0E314-04CB-4D27-A9A2-F1FD6F275844}"/>
    <cellStyle name="Normal 2 4 2 5 4 2 3" xfId="11890" xr:uid="{D53B6443-32FF-4672-8B20-82F93FF739DD}"/>
    <cellStyle name="Normal 2 4 2 5 4 2 4" xfId="20338" xr:uid="{14517410-D432-446B-B5E9-CD61EBDD36DB}"/>
    <cellStyle name="Normal 2 4 2 5 4 3" xfId="5513" xr:uid="{00000000-0005-0000-0000-0000A20F0000}"/>
    <cellStyle name="Normal 2 4 2 5 4 3 2" xfId="13963" xr:uid="{94DE9D12-C312-4449-91F9-19E777FC3480}"/>
    <cellStyle name="Normal 2 4 2 5 4 3 3" xfId="22410" xr:uid="{C6FEF064-FE4F-4DD3-B6EE-601B1A8A4E5D}"/>
    <cellStyle name="Normal 2 4 2 5 4 4" xfId="9745" xr:uid="{9103DB19-EE61-4703-94C7-2A3099CC49BE}"/>
    <cellStyle name="Normal 2 4 2 5 4 5" xfId="18193" xr:uid="{E5969B25-DC53-42E2-9AD5-F476BCF37FD1}"/>
    <cellStyle name="Normal 2 4 2 5 5" xfId="1619" xr:uid="{00000000-0005-0000-0000-0000A30F0000}"/>
    <cellStyle name="Normal 2 4 2 5 5 2" xfId="3849" xr:uid="{00000000-0005-0000-0000-0000A40F0000}"/>
    <cellStyle name="Normal 2 4 2 5 5 2 2" xfId="8071" xr:uid="{00000000-0005-0000-0000-0000A50F0000}"/>
    <cellStyle name="Normal 2 4 2 5 5 2 2 2" xfId="16521" xr:uid="{3F393BA8-C54E-4CEB-96E4-C2D0B1A4A2EB}"/>
    <cellStyle name="Normal 2 4 2 5 5 2 2 3" xfId="24968" xr:uid="{15E3E50A-4CC5-48AB-BB05-4B82E764DF9D}"/>
    <cellStyle name="Normal 2 4 2 5 5 2 3" xfId="12303" xr:uid="{107B4899-7F48-4D9C-A8CA-847A7D8F17BC}"/>
    <cellStyle name="Normal 2 4 2 5 5 2 4" xfId="20751" xr:uid="{0B8D39D2-C710-4942-BDA0-12A7B6F9A28D}"/>
    <cellStyle name="Normal 2 4 2 5 5 3" xfId="5926" xr:uid="{00000000-0005-0000-0000-0000A60F0000}"/>
    <cellStyle name="Normal 2 4 2 5 5 3 2" xfId="14376" xr:uid="{3C31C52A-5FCF-4A9B-B226-E7EC57256081}"/>
    <cellStyle name="Normal 2 4 2 5 5 3 3" xfId="22823" xr:uid="{4535D8F8-1935-4DAA-BCC1-0298D768973C}"/>
    <cellStyle name="Normal 2 4 2 5 5 4" xfId="10158" xr:uid="{31036F1C-C6BA-405E-9509-9FF4033EE19F}"/>
    <cellStyle name="Normal 2 4 2 5 5 5" xfId="18606" xr:uid="{56595C2C-EA7F-4761-97D0-ADB1A69EC28D}"/>
    <cellStyle name="Normal 2 4 2 5 6" xfId="2033" xr:uid="{00000000-0005-0000-0000-0000A70F0000}"/>
    <cellStyle name="Normal 2 4 2 5 6 2" xfId="4262" xr:uid="{00000000-0005-0000-0000-0000A80F0000}"/>
    <cellStyle name="Normal 2 4 2 5 6 2 2" xfId="8484" xr:uid="{00000000-0005-0000-0000-0000A90F0000}"/>
    <cellStyle name="Normal 2 4 2 5 6 2 2 2" xfId="16934" xr:uid="{DE2F1324-170D-4C2A-A2A3-F9BE7BC238B1}"/>
    <cellStyle name="Normal 2 4 2 5 6 2 2 3" xfId="25381" xr:uid="{FF9A93C0-84CB-4B29-8F27-DF8ACCAFA9B4}"/>
    <cellStyle name="Normal 2 4 2 5 6 2 3" xfId="12716" xr:uid="{21EC43D0-1451-4F2B-92B0-7A67AB7D4BFD}"/>
    <cellStyle name="Normal 2 4 2 5 6 2 4" xfId="21164" xr:uid="{5936F713-9F65-40F3-8ADD-0E64F52118E5}"/>
    <cellStyle name="Normal 2 4 2 5 6 3" xfId="6339" xr:uid="{00000000-0005-0000-0000-0000AA0F0000}"/>
    <cellStyle name="Normal 2 4 2 5 6 3 2" xfId="14789" xr:uid="{F7F6348D-371A-4EC0-8E14-B14FCF1D0A90}"/>
    <cellStyle name="Normal 2 4 2 5 6 3 3" xfId="23236" xr:uid="{6CE26DAB-B96D-469D-B3F5-F3DB641C48D9}"/>
    <cellStyle name="Normal 2 4 2 5 6 4" xfId="10571" xr:uid="{8B5085E0-B62D-4C88-82EF-21EF9090AA50}"/>
    <cellStyle name="Normal 2 4 2 5 6 5" xfId="19019" xr:uid="{5AD101CF-C3BC-41E3-98C3-8E2806A39C33}"/>
    <cellStyle name="Normal 2 4 2 5 7" xfId="2469" xr:uid="{00000000-0005-0000-0000-0000AB0F0000}"/>
    <cellStyle name="Normal 2 4 2 5 7 2" xfId="6752" xr:uid="{00000000-0005-0000-0000-0000AC0F0000}"/>
    <cellStyle name="Normal 2 4 2 5 7 2 2" xfId="15202" xr:uid="{3119708C-96D1-40FA-A18D-FF4F1800FE81}"/>
    <cellStyle name="Normal 2 4 2 5 7 2 3" xfId="23649" xr:uid="{92B281FC-2C39-4281-A7CB-BF2C5D2CE6DF}"/>
    <cellStyle name="Normal 2 4 2 5 7 3" xfId="10984" xr:uid="{B44C0271-482E-458B-BD21-10D89EA5987F}"/>
    <cellStyle name="Normal 2 4 2 5 7 4" xfId="19432" xr:uid="{5C96BECC-58B1-4EFF-B3C8-41D71C13D080}"/>
    <cellStyle name="Normal 2 4 2 5 8" xfId="4686" xr:uid="{00000000-0005-0000-0000-0000AD0F0000}"/>
    <cellStyle name="Normal 2 4 2 5 8 2" xfId="13136" xr:uid="{2BE43B7A-65F2-489B-9A56-89E1FF0CC305}"/>
    <cellStyle name="Normal 2 4 2 5 8 3" xfId="21583" xr:uid="{74AC9EBB-3FD2-45FE-896F-E1A7537FA919}"/>
    <cellStyle name="Normal 2 4 2 5 9" xfId="8918" xr:uid="{EDA00DFD-9DD4-467A-A999-06567DFA6723}"/>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2 2 2" xfId="15697" xr:uid="{CAC7D3D9-192E-4E3B-90C0-852DBC6C2B1C}"/>
    <cellStyle name="Normal 2 4 2 6 2 2 2 3" xfId="24144" xr:uid="{9223932D-7189-40A4-88DC-659BC6834166}"/>
    <cellStyle name="Normal 2 4 2 6 2 2 3" xfId="11479" xr:uid="{3248FAF1-4C6B-4DBA-BDAD-E24B454E4747}"/>
    <cellStyle name="Normal 2 4 2 6 2 2 4" xfId="19927" xr:uid="{4CA10472-5A69-4005-AD30-31AF0AFD33BE}"/>
    <cellStyle name="Normal 2 4 2 6 2 3" xfId="5102" xr:uid="{00000000-0005-0000-0000-0000B20F0000}"/>
    <cellStyle name="Normal 2 4 2 6 2 3 2" xfId="13552" xr:uid="{E3F199F4-335D-416B-9927-59BDDC9DFC06}"/>
    <cellStyle name="Normal 2 4 2 6 2 3 3" xfId="21999" xr:uid="{16652E39-8B97-42F9-94D3-DA3B644BE5F9}"/>
    <cellStyle name="Normal 2 4 2 6 2 4" xfId="9334" xr:uid="{FB138457-515D-4A00-8E5F-C332A16325ED}"/>
    <cellStyle name="Normal 2 4 2 6 2 5" xfId="17782" xr:uid="{7BFEBC2F-E88F-4301-BA06-8398F09B9F8F}"/>
    <cellStyle name="Normal 2 4 2 6 3" xfId="1208" xr:uid="{00000000-0005-0000-0000-0000B30F0000}"/>
    <cellStyle name="Normal 2 4 2 6 3 2" xfId="3438" xr:uid="{00000000-0005-0000-0000-0000B40F0000}"/>
    <cellStyle name="Normal 2 4 2 6 3 2 2" xfId="7660" xr:uid="{00000000-0005-0000-0000-0000B50F0000}"/>
    <cellStyle name="Normal 2 4 2 6 3 2 2 2" xfId="16110" xr:uid="{B47D6596-1818-45F5-AAC1-9543A638D809}"/>
    <cellStyle name="Normal 2 4 2 6 3 2 2 3" xfId="24557" xr:uid="{9CCA1A4F-3FE4-4B71-AD8D-C0FA1288F784}"/>
    <cellStyle name="Normal 2 4 2 6 3 2 3" xfId="11892" xr:uid="{FE4F45E6-3B42-4015-8913-B2CB486782E1}"/>
    <cellStyle name="Normal 2 4 2 6 3 2 4" xfId="20340" xr:uid="{827858B1-9F4C-4FA4-8EAB-C492EC99F46D}"/>
    <cellStyle name="Normal 2 4 2 6 3 3" xfId="5515" xr:uid="{00000000-0005-0000-0000-0000B60F0000}"/>
    <cellStyle name="Normal 2 4 2 6 3 3 2" xfId="13965" xr:uid="{7D8E8A94-EAA9-45B6-B18E-050A66244D86}"/>
    <cellStyle name="Normal 2 4 2 6 3 3 3" xfId="22412" xr:uid="{C98F33F1-5D13-414D-B7DF-C924AE2ECC78}"/>
    <cellStyle name="Normal 2 4 2 6 3 4" xfId="9747" xr:uid="{9DF6E363-C116-4534-AB95-AD747A540073}"/>
    <cellStyle name="Normal 2 4 2 6 3 5" xfId="18195" xr:uid="{1C31D5F5-321D-473E-B16D-6DDA7D16E153}"/>
    <cellStyle name="Normal 2 4 2 6 4" xfId="1621" xr:uid="{00000000-0005-0000-0000-0000B70F0000}"/>
    <cellStyle name="Normal 2 4 2 6 4 2" xfId="3851" xr:uid="{00000000-0005-0000-0000-0000B80F0000}"/>
    <cellStyle name="Normal 2 4 2 6 4 2 2" xfId="8073" xr:uid="{00000000-0005-0000-0000-0000B90F0000}"/>
    <cellStyle name="Normal 2 4 2 6 4 2 2 2" xfId="16523" xr:uid="{E120AB7D-3514-4853-BF71-375374CB8B6B}"/>
    <cellStyle name="Normal 2 4 2 6 4 2 2 3" xfId="24970" xr:uid="{5EA737DF-0B42-4C3B-BCDB-EE23784B688C}"/>
    <cellStyle name="Normal 2 4 2 6 4 2 3" xfId="12305" xr:uid="{9A3DBC12-D014-469C-821D-9FBC990FFF47}"/>
    <cellStyle name="Normal 2 4 2 6 4 2 4" xfId="20753" xr:uid="{0B0D0E97-E4EC-450B-8A74-37BCD71769AE}"/>
    <cellStyle name="Normal 2 4 2 6 4 3" xfId="5928" xr:uid="{00000000-0005-0000-0000-0000BA0F0000}"/>
    <cellStyle name="Normal 2 4 2 6 4 3 2" xfId="14378" xr:uid="{AB9AFB30-EF45-4793-9238-82873F14C732}"/>
    <cellStyle name="Normal 2 4 2 6 4 3 3" xfId="22825" xr:uid="{B96527BD-B9B7-43DF-8E1A-CDDBE6F07412}"/>
    <cellStyle name="Normal 2 4 2 6 4 4" xfId="10160" xr:uid="{A903F1A8-A704-486F-BA72-A3B10402B945}"/>
    <cellStyle name="Normal 2 4 2 6 4 5" xfId="18608" xr:uid="{0C595AB7-D76A-4E28-985C-BFD58182B3E5}"/>
    <cellStyle name="Normal 2 4 2 6 5" xfId="2035" xr:uid="{00000000-0005-0000-0000-0000BB0F0000}"/>
    <cellStyle name="Normal 2 4 2 6 5 2" xfId="4264" xr:uid="{00000000-0005-0000-0000-0000BC0F0000}"/>
    <cellStyle name="Normal 2 4 2 6 5 2 2" xfId="8486" xr:uid="{00000000-0005-0000-0000-0000BD0F0000}"/>
    <cellStyle name="Normal 2 4 2 6 5 2 2 2" xfId="16936" xr:uid="{41F7642B-BC41-4064-BC78-EF9535BD469D}"/>
    <cellStyle name="Normal 2 4 2 6 5 2 2 3" xfId="25383" xr:uid="{23EBF1A6-912B-4CC5-B665-B1F72DA40A10}"/>
    <cellStyle name="Normal 2 4 2 6 5 2 3" xfId="12718" xr:uid="{F3277B86-4D37-4CB6-9EAE-AE055B95F963}"/>
    <cellStyle name="Normal 2 4 2 6 5 2 4" xfId="21166" xr:uid="{60A68152-D471-443C-A105-EF8C93609992}"/>
    <cellStyle name="Normal 2 4 2 6 5 3" xfId="6341" xr:uid="{00000000-0005-0000-0000-0000BE0F0000}"/>
    <cellStyle name="Normal 2 4 2 6 5 3 2" xfId="14791" xr:uid="{20EB070E-FB8C-4E9A-8E5F-914D3A4C378A}"/>
    <cellStyle name="Normal 2 4 2 6 5 3 3" xfId="23238" xr:uid="{5C475E94-938A-4680-8A9C-754439EB13F5}"/>
    <cellStyle name="Normal 2 4 2 6 5 4" xfId="10573" xr:uid="{4F3AE9EC-531F-4DE9-9C32-2C92E362F2FE}"/>
    <cellStyle name="Normal 2 4 2 6 5 5" xfId="19021" xr:uid="{ABD39863-4F49-400C-B893-FF35AF8D085F}"/>
    <cellStyle name="Normal 2 4 2 6 6" xfId="2471" xr:uid="{00000000-0005-0000-0000-0000BF0F0000}"/>
    <cellStyle name="Normal 2 4 2 6 6 2" xfId="6754" xr:uid="{00000000-0005-0000-0000-0000C00F0000}"/>
    <cellStyle name="Normal 2 4 2 6 6 2 2" xfId="15204" xr:uid="{E7458158-6624-4A21-ADD4-9F2A38B5B45F}"/>
    <cellStyle name="Normal 2 4 2 6 6 2 3" xfId="23651" xr:uid="{3B8C9298-01DD-475C-B32C-0BF25F16E502}"/>
    <cellStyle name="Normal 2 4 2 6 6 3" xfId="10986" xr:uid="{EA7B682E-7695-48A1-A98E-56C42598807A}"/>
    <cellStyle name="Normal 2 4 2 6 6 4" xfId="19434" xr:uid="{0C80B345-A909-4CCD-856F-8B3784A3EC12}"/>
    <cellStyle name="Normal 2 4 2 6 7" xfId="4688" xr:uid="{00000000-0005-0000-0000-0000C10F0000}"/>
    <cellStyle name="Normal 2 4 2 6 7 2" xfId="13138" xr:uid="{BE2DD36C-E035-43E0-B3F5-E91ED999AEEE}"/>
    <cellStyle name="Normal 2 4 2 6 7 3" xfId="21585" xr:uid="{5B7600AE-3F14-4791-8079-99422E9F055D}"/>
    <cellStyle name="Normal 2 4 2 6 8" xfId="8920" xr:uid="{84C03B7A-A74A-4D8C-B92F-F79B6EBF4B17}"/>
    <cellStyle name="Normal 2 4 2 6 9" xfId="17368" xr:uid="{3C357C43-CE5E-46DB-AD48-143790DBF9C5}"/>
    <cellStyle name="Normal 2 4 2 7" xfId="771" xr:uid="{00000000-0005-0000-0000-0000C20F0000}"/>
    <cellStyle name="Normal 2 4 2 7 2" xfId="3010" xr:uid="{00000000-0005-0000-0000-0000C30F0000}"/>
    <cellStyle name="Normal 2 4 2 7 2 2" xfId="7232" xr:uid="{00000000-0005-0000-0000-0000C40F0000}"/>
    <cellStyle name="Normal 2 4 2 7 2 2 2" xfId="15682" xr:uid="{3E482EE0-9F0F-454F-BCF4-67CB2F750390}"/>
    <cellStyle name="Normal 2 4 2 7 2 2 3" xfId="24129" xr:uid="{EB9D15F6-0EB5-497C-A49A-33FE984B516A}"/>
    <cellStyle name="Normal 2 4 2 7 2 3" xfId="11464" xr:uid="{82AD224C-E0A0-441D-83D2-CA5636632FFD}"/>
    <cellStyle name="Normal 2 4 2 7 2 4" xfId="19912" xr:uid="{F25FCF1C-86C1-4A19-BE94-00C161143A7F}"/>
    <cellStyle name="Normal 2 4 2 7 3" xfId="5087" xr:uid="{00000000-0005-0000-0000-0000C50F0000}"/>
    <cellStyle name="Normal 2 4 2 7 3 2" xfId="13537" xr:uid="{E54B95F9-F373-4EDD-8669-B3A9757C0235}"/>
    <cellStyle name="Normal 2 4 2 7 3 3" xfId="21984" xr:uid="{9B3D4CEB-AED9-4459-832A-D5042747F6A7}"/>
    <cellStyle name="Normal 2 4 2 7 4" xfId="9319" xr:uid="{9E3B469C-32C0-4CBE-BCF0-2B1F22B86886}"/>
    <cellStyle name="Normal 2 4 2 7 5" xfId="17767" xr:uid="{D953AD1E-9D74-4BAE-B4D9-FEB41D2B3C54}"/>
    <cellStyle name="Normal 2 4 2 8" xfId="1193" xr:uid="{00000000-0005-0000-0000-0000C60F0000}"/>
    <cellStyle name="Normal 2 4 2 8 2" xfId="3423" xr:uid="{00000000-0005-0000-0000-0000C70F0000}"/>
    <cellStyle name="Normal 2 4 2 8 2 2" xfId="7645" xr:uid="{00000000-0005-0000-0000-0000C80F0000}"/>
    <cellStyle name="Normal 2 4 2 8 2 2 2" xfId="16095" xr:uid="{A9EF35AF-5D59-446B-B6C2-45F0ADD6AAC7}"/>
    <cellStyle name="Normal 2 4 2 8 2 2 3" xfId="24542" xr:uid="{CC76345A-49CC-4585-894D-EF939CD6A7E4}"/>
    <cellStyle name="Normal 2 4 2 8 2 3" xfId="11877" xr:uid="{F56B407B-1D50-4C3C-AFAB-379F099D795C}"/>
    <cellStyle name="Normal 2 4 2 8 2 4" xfId="20325" xr:uid="{3721EA69-9866-4192-A8F1-AC557D7B5859}"/>
    <cellStyle name="Normal 2 4 2 8 3" xfId="5500" xr:uid="{00000000-0005-0000-0000-0000C90F0000}"/>
    <cellStyle name="Normal 2 4 2 8 3 2" xfId="13950" xr:uid="{9502532A-D391-4FA7-B2DC-6C52D651834F}"/>
    <cellStyle name="Normal 2 4 2 8 3 3" xfId="22397" xr:uid="{E531D99E-00AE-40C1-87AC-169948EFA7A0}"/>
    <cellStyle name="Normal 2 4 2 8 4" xfId="9732" xr:uid="{156A0CCA-DC99-4699-816E-E7BA88204075}"/>
    <cellStyle name="Normal 2 4 2 8 5" xfId="18180" xr:uid="{D8791634-1273-43B0-9F5F-A308C62BCD58}"/>
    <cellStyle name="Normal 2 4 2 9" xfId="1606" xr:uid="{00000000-0005-0000-0000-0000CA0F0000}"/>
    <cellStyle name="Normal 2 4 2 9 2" xfId="3836" xr:uid="{00000000-0005-0000-0000-0000CB0F0000}"/>
    <cellStyle name="Normal 2 4 2 9 2 2" xfId="8058" xr:uid="{00000000-0005-0000-0000-0000CC0F0000}"/>
    <cellStyle name="Normal 2 4 2 9 2 2 2" xfId="16508" xr:uid="{D6066B93-44DE-43A6-B4B2-2D4E3839B2C7}"/>
    <cellStyle name="Normal 2 4 2 9 2 2 3" xfId="24955" xr:uid="{2B34366B-49C2-48CB-8BF9-EF2EBA8C66D1}"/>
    <cellStyle name="Normal 2 4 2 9 2 3" xfId="12290" xr:uid="{30BEE5D3-2C24-44CA-9B78-E8D876FB454D}"/>
    <cellStyle name="Normal 2 4 2 9 2 4" xfId="20738" xr:uid="{7CFF94E3-24F7-42EC-A75B-FE7B6A6B4EE5}"/>
    <cellStyle name="Normal 2 4 2 9 3" xfId="5913" xr:uid="{00000000-0005-0000-0000-0000CD0F0000}"/>
    <cellStyle name="Normal 2 4 2 9 3 2" xfId="14363" xr:uid="{99B7A9C4-5EBF-45BC-8A53-2AE78916E66F}"/>
    <cellStyle name="Normal 2 4 2 9 3 3" xfId="22810" xr:uid="{8AC92C91-25F7-476B-8473-75665CA2792D}"/>
    <cellStyle name="Normal 2 4 2 9 4" xfId="10145" xr:uid="{53B87909-734A-4D03-86FA-ECAC82529CCC}"/>
    <cellStyle name="Normal 2 4 2 9 5" xfId="18593" xr:uid="{DF5222D8-6568-4F67-8FAD-C3E2C1ADEC02}"/>
    <cellStyle name="Normal 2 4 3" xfId="296" xr:uid="{00000000-0005-0000-0000-0000CE0F0000}"/>
    <cellStyle name="Normal 2 4 3 10" xfId="8921" xr:uid="{BCB58A07-7AF8-4DC4-93B6-1239ADF0BE3A}"/>
    <cellStyle name="Normal 2 4 3 11" xfId="17369" xr:uid="{C1217BDA-5962-4B5E-A9F0-F22E88EB03B7}"/>
    <cellStyle name="Normal 2 4 3 2" xfId="297" xr:uid="{00000000-0005-0000-0000-0000CF0F0000}"/>
    <cellStyle name="Normal 2 4 3 3" xfId="298" xr:uid="{00000000-0005-0000-0000-0000D00F0000}"/>
    <cellStyle name="Normal 2 4 3 3 10" xfId="8922" xr:uid="{6DBB4DE7-7540-4203-B6A0-256DD335D5FE}"/>
    <cellStyle name="Normal 2 4 3 3 11" xfId="17370" xr:uid="{4A2375BC-119D-4191-8EB2-7C364E1C20D8}"/>
    <cellStyle name="Normal 2 4 3 3 2" xfId="299" xr:uid="{00000000-0005-0000-0000-0000D10F0000}"/>
    <cellStyle name="Normal 2 4 3 3 2 10" xfId="17371" xr:uid="{B1333798-30A1-40FB-B7EB-C62291F9E40F}"/>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2 2 2" xfId="15701" xr:uid="{ACBA65AF-8D4C-4311-A2B5-E1D8F1D5C3EE}"/>
    <cellStyle name="Normal 2 4 3 3 2 2 2 2 2 3" xfId="24148" xr:uid="{D14E5237-B25D-4CEC-BC7D-A1A7B08E972A}"/>
    <cellStyle name="Normal 2 4 3 3 2 2 2 2 3" xfId="11483" xr:uid="{ED6B370D-0930-46A4-96AF-814AB980EE41}"/>
    <cellStyle name="Normal 2 4 3 3 2 2 2 2 4" xfId="19931" xr:uid="{F3E1605A-EE6B-4C05-8003-A3B95C735045}"/>
    <cellStyle name="Normal 2 4 3 3 2 2 2 3" xfId="5106" xr:uid="{00000000-0005-0000-0000-0000D60F0000}"/>
    <cellStyle name="Normal 2 4 3 3 2 2 2 3 2" xfId="13556" xr:uid="{1170839C-DF3D-483A-ABEF-FE1C42F79301}"/>
    <cellStyle name="Normal 2 4 3 3 2 2 2 3 3" xfId="22003" xr:uid="{E0FE1C9F-9E2A-4A8D-8A75-485B949EF724}"/>
    <cellStyle name="Normal 2 4 3 3 2 2 2 4" xfId="9338" xr:uid="{FEF3E72D-F6D6-4631-936F-010EE42022E3}"/>
    <cellStyle name="Normal 2 4 3 3 2 2 2 5" xfId="17786" xr:uid="{550EE980-A7C6-4F1A-A794-906C6E8D39E8}"/>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2 2 2" xfId="16114" xr:uid="{B473BA9A-5D07-4B81-8550-9FB5360E7B3F}"/>
    <cellStyle name="Normal 2 4 3 3 2 2 3 2 2 3" xfId="24561" xr:uid="{D2133077-AFA4-459D-A485-31CDEE5B1DB9}"/>
    <cellStyle name="Normal 2 4 3 3 2 2 3 2 3" xfId="11896" xr:uid="{53317A65-FBCF-4BD3-AEFC-FBD6AE90553C}"/>
    <cellStyle name="Normal 2 4 3 3 2 2 3 2 4" xfId="20344" xr:uid="{F5655E19-7248-4A08-8C4D-E7C6CE430040}"/>
    <cellStyle name="Normal 2 4 3 3 2 2 3 3" xfId="5519" xr:uid="{00000000-0005-0000-0000-0000DA0F0000}"/>
    <cellStyle name="Normal 2 4 3 3 2 2 3 3 2" xfId="13969" xr:uid="{31F88AA9-A9D7-4FDE-BC22-0288A92FC415}"/>
    <cellStyle name="Normal 2 4 3 3 2 2 3 3 3" xfId="22416" xr:uid="{0E6A4EC2-900D-4CF9-B340-F86E6EF7BD13}"/>
    <cellStyle name="Normal 2 4 3 3 2 2 3 4" xfId="9751" xr:uid="{47B5E792-DE5B-47FC-B63A-35346D81F3A3}"/>
    <cellStyle name="Normal 2 4 3 3 2 2 3 5" xfId="18199" xr:uid="{91A86EB8-ABDF-4C4C-8835-DBC67D6FE4C8}"/>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2 2 2" xfId="16527" xr:uid="{693651DC-B019-49BE-B66F-DE542418FFF1}"/>
    <cellStyle name="Normal 2 4 3 3 2 2 4 2 2 3" xfId="24974" xr:uid="{856446D7-B97A-44FF-A0E6-E5EB6072D6BC}"/>
    <cellStyle name="Normal 2 4 3 3 2 2 4 2 3" xfId="12309" xr:uid="{95593D92-3D4F-4204-A869-BCB212AB63A8}"/>
    <cellStyle name="Normal 2 4 3 3 2 2 4 2 4" xfId="20757" xr:uid="{B876253D-2938-4A21-96EC-5063CC79A3E1}"/>
    <cellStyle name="Normal 2 4 3 3 2 2 4 3" xfId="5932" xr:uid="{00000000-0005-0000-0000-0000DE0F0000}"/>
    <cellStyle name="Normal 2 4 3 3 2 2 4 3 2" xfId="14382" xr:uid="{7D7DE94D-3651-4688-BF20-19A272CE017A}"/>
    <cellStyle name="Normal 2 4 3 3 2 2 4 3 3" xfId="22829" xr:uid="{026120F8-4A69-4A8C-BCDA-DAE7DE30A55C}"/>
    <cellStyle name="Normal 2 4 3 3 2 2 4 4" xfId="10164" xr:uid="{F69B9C3C-EC60-4A85-8D3B-B7A3AC5453B7}"/>
    <cellStyle name="Normal 2 4 3 3 2 2 4 5" xfId="18612" xr:uid="{4860072F-CB83-4C10-BD77-4F57B9DBD5CD}"/>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2 2 2" xfId="16940" xr:uid="{90B004E9-4F7A-40ED-A784-7191557416A9}"/>
    <cellStyle name="Normal 2 4 3 3 2 2 5 2 2 3" xfId="25387" xr:uid="{F734696B-852E-401B-BC01-CA7405105839}"/>
    <cellStyle name="Normal 2 4 3 3 2 2 5 2 3" xfId="12722" xr:uid="{2CA28150-230A-4C41-A4A7-41257AFA5CF5}"/>
    <cellStyle name="Normal 2 4 3 3 2 2 5 2 4" xfId="21170" xr:uid="{F2350536-AADE-47EE-B64C-E3B7A8E2FDE7}"/>
    <cellStyle name="Normal 2 4 3 3 2 2 5 3" xfId="6345" xr:uid="{00000000-0005-0000-0000-0000E20F0000}"/>
    <cellStyle name="Normal 2 4 3 3 2 2 5 3 2" xfId="14795" xr:uid="{FD35AC4E-57B8-467A-8F3F-3F74D9FD2C06}"/>
    <cellStyle name="Normal 2 4 3 3 2 2 5 3 3" xfId="23242" xr:uid="{4ACEC4A7-182F-4B94-92EC-362F4E83203B}"/>
    <cellStyle name="Normal 2 4 3 3 2 2 5 4" xfId="10577" xr:uid="{E5532D82-7DDF-4BD2-8965-E110015AB5C6}"/>
    <cellStyle name="Normal 2 4 3 3 2 2 5 5" xfId="19025" xr:uid="{79DB0D4B-4817-4D60-9499-D187913D8171}"/>
    <cellStyle name="Normal 2 4 3 3 2 2 6" xfId="2475" xr:uid="{00000000-0005-0000-0000-0000E30F0000}"/>
    <cellStyle name="Normal 2 4 3 3 2 2 6 2" xfId="6758" xr:uid="{00000000-0005-0000-0000-0000E40F0000}"/>
    <cellStyle name="Normal 2 4 3 3 2 2 6 2 2" xfId="15208" xr:uid="{6B5C803F-9C7D-4F45-9DCE-9FC9F6C6DB1C}"/>
    <cellStyle name="Normal 2 4 3 3 2 2 6 2 3" xfId="23655" xr:uid="{AFB653D4-2317-4956-A313-E02E25EBF43D}"/>
    <cellStyle name="Normal 2 4 3 3 2 2 6 3" xfId="10990" xr:uid="{B7206BE9-8245-4597-8385-AA4FF0C07051}"/>
    <cellStyle name="Normal 2 4 3 3 2 2 6 4" xfId="19438" xr:uid="{E560D43E-353B-4883-AA64-A1F12F1ACCFF}"/>
    <cellStyle name="Normal 2 4 3 3 2 2 7" xfId="4692" xr:uid="{00000000-0005-0000-0000-0000E50F0000}"/>
    <cellStyle name="Normal 2 4 3 3 2 2 7 2" xfId="13142" xr:uid="{473EA7DA-B273-4C31-98A1-03ADA09EA955}"/>
    <cellStyle name="Normal 2 4 3 3 2 2 7 3" xfId="21589" xr:uid="{AEBA1D12-F53D-4945-A423-8D72C8D8F9B6}"/>
    <cellStyle name="Normal 2 4 3 3 2 2 8" xfId="8924" xr:uid="{42C8968C-1C48-4F8D-8F13-747CE34E64CC}"/>
    <cellStyle name="Normal 2 4 3 3 2 2 9" xfId="17372" xr:uid="{F28E37C0-507A-4BF0-B5F3-9A26DD095F08}"/>
    <cellStyle name="Normal 2 4 3 3 2 3" xfId="789" xr:uid="{00000000-0005-0000-0000-0000E60F0000}"/>
    <cellStyle name="Normal 2 4 3 3 2 3 2" xfId="3028" xr:uid="{00000000-0005-0000-0000-0000E70F0000}"/>
    <cellStyle name="Normal 2 4 3 3 2 3 2 2" xfId="7250" xr:uid="{00000000-0005-0000-0000-0000E80F0000}"/>
    <cellStyle name="Normal 2 4 3 3 2 3 2 2 2" xfId="15700" xr:uid="{07015F63-F8EB-4BBA-8952-2B760A7557E3}"/>
    <cellStyle name="Normal 2 4 3 3 2 3 2 2 3" xfId="24147" xr:uid="{E3D9A2A8-E48B-46CC-ACEA-5BEF6EEA5DBF}"/>
    <cellStyle name="Normal 2 4 3 3 2 3 2 3" xfId="11482" xr:uid="{F98CEE75-35FF-413E-93D8-52ADB98A9F6D}"/>
    <cellStyle name="Normal 2 4 3 3 2 3 2 4" xfId="19930" xr:uid="{CA745A96-DE0A-4140-9973-AF47AE9A46AB}"/>
    <cellStyle name="Normal 2 4 3 3 2 3 3" xfId="5105" xr:uid="{00000000-0005-0000-0000-0000E90F0000}"/>
    <cellStyle name="Normal 2 4 3 3 2 3 3 2" xfId="13555" xr:uid="{34B3DFBD-7437-41E1-9EA0-277CA9D15E18}"/>
    <cellStyle name="Normal 2 4 3 3 2 3 3 3" xfId="22002" xr:uid="{3570B8ED-98E0-4B7B-9B56-37979AA35599}"/>
    <cellStyle name="Normal 2 4 3 3 2 3 4" xfId="9337" xr:uid="{DBAD33B4-F428-4F60-85D4-64F8BCD06E33}"/>
    <cellStyle name="Normal 2 4 3 3 2 3 5" xfId="17785" xr:uid="{DC18D8C1-4867-46DC-92EB-B9823F19A1B5}"/>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2 2 2" xfId="16113" xr:uid="{54133DC5-60C1-4115-8F93-E17CD92F627C}"/>
    <cellStyle name="Normal 2 4 3 3 2 4 2 2 3" xfId="24560" xr:uid="{28F1FEF0-8A2E-420F-B513-843CF22DD16D}"/>
    <cellStyle name="Normal 2 4 3 3 2 4 2 3" xfId="11895" xr:uid="{A86BD8D7-2341-4F51-BFAC-6417F4B09218}"/>
    <cellStyle name="Normal 2 4 3 3 2 4 2 4" xfId="20343" xr:uid="{EEACB6F4-5946-4E15-9552-A4BF6B17CAE0}"/>
    <cellStyle name="Normal 2 4 3 3 2 4 3" xfId="5518" xr:uid="{00000000-0005-0000-0000-0000ED0F0000}"/>
    <cellStyle name="Normal 2 4 3 3 2 4 3 2" xfId="13968" xr:uid="{15205C08-676F-4739-BBD9-57E03BDE4FDF}"/>
    <cellStyle name="Normal 2 4 3 3 2 4 3 3" xfId="22415" xr:uid="{5280D193-5B2D-4341-95C5-3BA42D17FC93}"/>
    <cellStyle name="Normal 2 4 3 3 2 4 4" xfId="9750" xr:uid="{5947A546-A4E6-40C2-8DFF-FFCC6E8FF689}"/>
    <cellStyle name="Normal 2 4 3 3 2 4 5" xfId="18198" xr:uid="{A488028B-4202-4696-9A35-778526FBB59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2 2 2" xfId="16526" xr:uid="{EFAC6C0A-E1FE-4BFD-A1B6-8B5E3D166F65}"/>
    <cellStyle name="Normal 2 4 3 3 2 5 2 2 3" xfId="24973" xr:uid="{48031AB1-4AE7-4A52-9C1A-57F5E01C149F}"/>
    <cellStyle name="Normal 2 4 3 3 2 5 2 3" xfId="12308" xr:uid="{A3138E27-C83E-4172-8F86-46763FC0B3E9}"/>
    <cellStyle name="Normal 2 4 3 3 2 5 2 4" xfId="20756" xr:uid="{CEE7C057-C09F-496E-9D6F-D1CE03FE0D6C}"/>
    <cellStyle name="Normal 2 4 3 3 2 5 3" xfId="5931" xr:uid="{00000000-0005-0000-0000-0000F10F0000}"/>
    <cellStyle name="Normal 2 4 3 3 2 5 3 2" xfId="14381" xr:uid="{C056261A-FF7A-46F9-89E8-08075AA34291}"/>
    <cellStyle name="Normal 2 4 3 3 2 5 3 3" xfId="22828" xr:uid="{B8284B43-A685-4D23-8CE7-EEF804ABAF20}"/>
    <cellStyle name="Normal 2 4 3 3 2 5 4" xfId="10163" xr:uid="{C14FCEA3-2A1F-4F04-8FEF-43A968C1948F}"/>
    <cellStyle name="Normal 2 4 3 3 2 5 5" xfId="18611" xr:uid="{9DA13C09-A330-48D8-88B5-707ACF9FDD78}"/>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2 2 2" xfId="16939" xr:uid="{5A5E19EA-EB0D-4FEB-BD1F-CEFB66062557}"/>
    <cellStyle name="Normal 2 4 3 3 2 6 2 2 3" xfId="25386" xr:uid="{4EBF63FB-7896-4C9A-9FC1-A2C69CECC3B7}"/>
    <cellStyle name="Normal 2 4 3 3 2 6 2 3" xfId="12721" xr:uid="{214C50E7-50C5-4B6A-B2C6-3D0D29440CE0}"/>
    <cellStyle name="Normal 2 4 3 3 2 6 2 4" xfId="21169" xr:uid="{872CCF1B-20D1-46D0-88AB-84EAD963328C}"/>
    <cellStyle name="Normal 2 4 3 3 2 6 3" xfId="6344" xr:uid="{00000000-0005-0000-0000-0000F50F0000}"/>
    <cellStyle name="Normal 2 4 3 3 2 6 3 2" xfId="14794" xr:uid="{3C687B37-FC73-48E8-9B6B-FC0A30484430}"/>
    <cellStyle name="Normal 2 4 3 3 2 6 3 3" xfId="23241" xr:uid="{1E9CE77B-BEF2-466B-9ABA-CBB8CE1F0994}"/>
    <cellStyle name="Normal 2 4 3 3 2 6 4" xfId="10576" xr:uid="{B192C895-8950-469F-98C6-34C6F54467E9}"/>
    <cellStyle name="Normal 2 4 3 3 2 6 5" xfId="19024" xr:uid="{DEE6D24C-2016-4258-A80B-B5B3C238CB74}"/>
    <cellStyle name="Normal 2 4 3 3 2 7" xfId="2474" xr:uid="{00000000-0005-0000-0000-0000F60F0000}"/>
    <cellStyle name="Normal 2 4 3 3 2 7 2" xfId="6757" xr:uid="{00000000-0005-0000-0000-0000F70F0000}"/>
    <cellStyle name="Normal 2 4 3 3 2 7 2 2" xfId="15207" xr:uid="{ADC0DCD9-9550-48E6-BC22-62DBBF1298BB}"/>
    <cellStyle name="Normal 2 4 3 3 2 7 2 3" xfId="23654" xr:uid="{BA4E7110-6D71-4543-905F-EF633E5E59B1}"/>
    <cellStyle name="Normal 2 4 3 3 2 7 3" xfId="10989" xr:uid="{EFAB1D9A-DA01-481B-8500-61885F456DCC}"/>
    <cellStyle name="Normal 2 4 3 3 2 7 4" xfId="19437" xr:uid="{CC656BE3-DA9C-4B2E-AB06-A26F51700FBD}"/>
    <cellStyle name="Normal 2 4 3 3 2 8" xfId="4691" xr:uid="{00000000-0005-0000-0000-0000F80F0000}"/>
    <cellStyle name="Normal 2 4 3 3 2 8 2" xfId="13141" xr:uid="{A945D2BE-4004-4B4B-A3FA-75A652078369}"/>
    <cellStyle name="Normal 2 4 3 3 2 8 3" xfId="21588" xr:uid="{6A63B372-CA49-494E-A5C2-E1C0B6199D6C}"/>
    <cellStyle name="Normal 2 4 3 3 2 9" xfId="8923" xr:uid="{B0437C1F-2B2D-450F-BA39-E042CB40DB97}"/>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2 2 2" xfId="15702" xr:uid="{04C5A823-0C7B-4625-BFD9-8E6B436D7F04}"/>
    <cellStyle name="Normal 2 4 3 3 3 2 2 2 3" xfId="24149" xr:uid="{B45B6E27-D0BE-4827-A7FB-B30C792635C2}"/>
    <cellStyle name="Normal 2 4 3 3 3 2 2 3" xfId="11484" xr:uid="{D8A1AE4D-1C50-4573-A741-DB1EF391DA75}"/>
    <cellStyle name="Normal 2 4 3 3 3 2 2 4" xfId="19932" xr:uid="{BD73B38F-1C54-4092-8A42-17F3012355C4}"/>
    <cellStyle name="Normal 2 4 3 3 3 2 3" xfId="5107" xr:uid="{00000000-0005-0000-0000-0000FD0F0000}"/>
    <cellStyle name="Normal 2 4 3 3 3 2 3 2" xfId="13557" xr:uid="{B83D7ECA-FD6F-4AE7-B384-4CFCF543CD29}"/>
    <cellStyle name="Normal 2 4 3 3 3 2 3 3" xfId="22004" xr:uid="{95644CEE-031B-4B7C-BFF3-519094992187}"/>
    <cellStyle name="Normal 2 4 3 3 3 2 4" xfId="9339" xr:uid="{21FFFEF4-D152-4756-A54B-10EECED0E2D6}"/>
    <cellStyle name="Normal 2 4 3 3 3 2 5" xfId="17787" xr:uid="{82CA3C4A-5EFE-4F34-BF47-5138C2EDAB39}"/>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2 2 2" xfId="16115" xr:uid="{34CC164A-8760-492F-BFC0-9C04AB7A9ACD}"/>
    <cellStyle name="Normal 2 4 3 3 3 3 2 2 3" xfId="24562" xr:uid="{8240A454-C505-494A-87B2-6BC540257589}"/>
    <cellStyle name="Normal 2 4 3 3 3 3 2 3" xfId="11897" xr:uid="{9E155099-5955-4889-8D1B-30BAA485F863}"/>
    <cellStyle name="Normal 2 4 3 3 3 3 2 4" xfId="20345" xr:uid="{14504250-088D-4FB5-9D5E-A4247D55916F}"/>
    <cellStyle name="Normal 2 4 3 3 3 3 3" xfId="5520" xr:uid="{00000000-0005-0000-0000-000001100000}"/>
    <cellStyle name="Normal 2 4 3 3 3 3 3 2" xfId="13970" xr:uid="{26F9ABA0-447B-4A96-B37F-65FB920DD29B}"/>
    <cellStyle name="Normal 2 4 3 3 3 3 3 3" xfId="22417" xr:uid="{439C9BA3-4B96-485D-A748-5BC1E3AB5A0F}"/>
    <cellStyle name="Normal 2 4 3 3 3 3 4" xfId="9752" xr:uid="{3E337A4C-7E08-4E95-9CF2-FD7A66B8D055}"/>
    <cellStyle name="Normal 2 4 3 3 3 3 5" xfId="18200" xr:uid="{091292C1-9653-4696-B1D6-7BBBD7D82456}"/>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2 2 2" xfId="16528" xr:uid="{6EA0DF80-51AB-4F14-8138-2BE5D91C0637}"/>
    <cellStyle name="Normal 2 4 3 3 3 4 2 2 3" xfId="24975" xr:uid="{9226D63D-8AAD-4FF5-853B-AC84FB6C4C60}"/>
    <cellStyle name="Normal 2 4 3 3 3 4 2 3" xfId="12310" xr:uid="{B6E43BB7-EDED-44B4-8604-3CF1E35771D1}"/>
    <cellStyle name="Normal 2 4 3 3 3 4 2 4" xfId="20758" xr:uid="{C05F7E77-39D9-4F7C-8EC6-DD8978C58175}"/>
    <cellStyle name="Normal 2 4 3 3 3 4 3" xfId="5933" xr:uid="{00000000-0005-0000-0000-000005100000}"/>
    <cellStyle name="Normal 2 4 3 3 3 4 3 2" xfId="14383" xr:uid="{DF6D6FF7-8A3E-4A59-BB3A-98C01FC0A13D}"/>
    <cellStyle name="Normal 2 4 3 3 3 4 3 3" xfId="22830" xr:uid="{8C075A0B-0B9C-43CD-88ED-6F576B933367}"/>
    <cellStyle name="Normal 2 4 3 3 3 4 4" xfId="10165" xr:uid="{2061D1EE-224F-4BF8-9AB4-4C2B3CD0BE8D}"/>
    <cellStyle name="Normal 2 4 3 3 3 4 5" xfId="18613" xr:uid="{D0847FE1-582E-4C17-B48F-C3F1DE52D991}"/>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2 2 2" xfId="16941" xr:uid="{45E22F4C-0BC8-4AB7-9A58-EF6DD6AB6CBB}"/>
    <cellStyle name="Normal 2 4 3 3 3 5 2 2 3" xfId="25388" xr:uid="{3BD6ABD7-5CF3-4170-982C-914484E11EF1}"/>
    <cellStyle name="Normal 2 4 3 3 3 5 2 3" xfId="12723" xr:uid="{857E7700-85F0-41E8-B655-DC39A41EAF25}"/>
    <cellStyle name="Normal 2 4 3 3 3 5 2 4" xfId="21171" xr:uid="{2515A062-1A1C-426F-97D5-7285D720083D}"/>
    <cellStyle name="Normal 2 4 3 3 3 5 3" xfId="6346" xr:uid="{00000000-0005-0000-0000-000009100000}"/>
    <cellStyle name="Normal 2 4 3 3 3 5 3 2" xfId="14796" xr:uid="{20CD83E7-9AB2-4186-895F-7AFA6C55D43F}"/>
    <cellStyle name="Normal 2 4 3 3 3 5 3 3" xfId="23243" xr:uid="{DE7B3035-0337-48AE-A2EA-D8814D1A5AE4}"/>
    <cellStyle name="Normal 2 4 3 3 3 5 4" xfId="10578" xr:uid="{5F8D5ABE-E4E8-41AF-8D62-75B2E1B4E621}"/>
    <cellStyle name="Normal 2 4 3 3 3 5 5" xfId="19026" xr:uid="{0E6F6A25-CB93-4DB7-BC69-CC923A52D2CC}"/>
    <cellStyle name="Normal 2 4 3 3 3 6" xfId="2476" xr:uid="{00000000-0005-0000-0000-00000A100000}"/>
    <cellStyle name="Normal 2 4 3 3 3 6 2" xfId="6759" xr:uid="{00000000-0005-0000-0000-00000B100000}"/>
    <cellStyle name="Normal 2 4 3 3 3 6 2 2" xfId="15209" xr:uid="{B666187E-0C1C-4CA8-8AD7-91F96134D69A}"/>
    <cellStyle name="Normal 2 4 3 3 3 6 2 3" xfId="23656" xr:uid="{D2EA3B83-4E31-4EBB-A9D9-9E151A92EF59}"/>
    <cellStyle name="Normal 2 4 3 3 3 6 3" xfId="10991" xr:uid="{C28545CC-3066-4772-AF7B-5375FE77CC27}"/>
    <cellStyle name="Normal 2 4 3 3 3 6 4" xfId="19439" xr:uid="{AEFDA576-753E-4AD4-BC30-0D737573C237}"/>
    <cellStyle name="Normal 2 4 3 3 3 7" xfId="4693" xr:uid="{00000000-0005-0000-0000-00000C100000}"/>
    <cellStyle name="Normal 2 4 3 3 3 7 2" xfId="13143" xr:uid="{943B4A27-4033-44A6-B633-F3F887CDE053}"/>
    <cellStyle name="Normal 2 4 3 3 3 7 3" xfId="21590" xr:uid="{01C10FDE-AF33-4C48-A6FB-5179BF1E3E29}"/>
    <cellStyle name="Normal 2 4 3 3 3 8" xfId="8925" xr:uid="{303EAF9A-2A98-4AAA-A9E8-A1F6B3B754D0}"/>
    <cellStyle name="Normal 2 4 3 3 3 9" xfId="17373" xr:uid="{2CAEB4C8-3603-4807-AEB2-B573B2310CD5}"/>
    <cellStyle name="Normal 2 4 3 3 4" xfId="788" xr:uid="{00000000-0005-0000-0000-00000D100000}"/>
    <cellStyle name="Normal 2 4 3 3 4 2" xfId="3027" xr:uid="{00000000-0005-0000-0000-00000E100000}"/>
    <cellStyle name="Normal 2 4 3 3 4 2 2" xfId="7249" xr:uid="{00000000-0005-0000-0000-00000F100000}"/>
    <cellStyle name="Normal 2 4 3 3 4 2 2 2" xfId="15699" xr:uid="{818A2647-1423-41A9-B5A5-CDACC8A46546}"/>
    <cellStyle name="Normal 2 4 3 3 4 2 2 3" xfId="24146" xr:uid="{43A96F3F-BC93-4E7E-AC60-1C4EB62E3AD0}"/>
    <cellStyle name="Normal 2 4 3 3 4 2 3" xfId="11481" xr:uid="{091E84DA-3B1B-44D5-A4F7-AA0EDF3E4573}"/>
    <cellStyle name="Normal 2 4 3 3 4 2 4" xfId="19929" xr:uid="{8512967E-C86C-4AD8-BA90-1835CA25DF86}"/>
    <cellStyle name="Normal 2 4 3 3 4 3" xfId="5104" xr:uid="{00000000-0005-0000-0000-000010100000}"/>
    <cellStyle name="Normal 2 4 3 3 4 3 2" xfId="13554" xr:uid="{E323FEF4-E784-4829-A894-6C6E43958827}"/>
    <cellStyle name="Normal 2 4 3 3 4 3 3" xfId="22001" xr:uid="{18642D46-AD6F-466F-853E-76B6F98C450C}"/>
    <cellStyle name="Normal 2 4 3 3 4 4" xfId="9336" xr:uid="{3339DB15-ECEA-48F1-AA9A-E44264EE60A6}"/>
    <cellStyle name="Normal 2 4 3 3 4 5" xfId="17784" xr:uid="{0DC09F6D-E3A9-49C6-B27D-1FC1B041A8FB}"/>
    <cellStyle name="Normal 2 4 3 3 5" xfId="1210" xr:uid="{00000000-0005-0000-0000-000011100000}"/>
    <cellStyle name="Normal 2 4 3 3 5 2" xfId="3440" xr:uid="{00000000-0005-0000-0000-000012100000}"/>
    <cellStyle name="Normal 2 4 3 3 5 2 2" xfId="7662" xr:uid="{00000000-0005-0000-0000-000013100000}"/>
    <cellStyle name="Normal 2 4 3 3 5 2 2 2" xfId="16112" xr:uid="{BED01963-8777-4A47-A80F-D9518C478628}"/>
    <cellStyle name="Normal 2 4 3 3 5 2 2 3" xfId="24559" xr:uid="{514B700F-190F-4B6B-98FD-2DA37C7DD399}"/>
    <cellStyle name="Normal 2 4 3 3 5 2 3" xfId="11894" xr:uid="{E5EE2259-07B3-4EF2-B194-A5479ABE5805}"/>
    <cellStyle name="Normal 2 4 3 3 5 2 4" xfId="20342" xr:uid="{39D696CF-CFB8-47BF-8749-5F98D4BFE1A7}"/>
    <cellStyle name="Normal 2 4 3 3 5 3" xfId="5517" xr:uid="{00000000-0005-0000-0000-000014100000}"/>
    <cellStyle name="Normal 2 4 3 3 5 3 2" xfId="13967" xr:uid="{D2860DB9-60E1-4118-8297-8615DEC626B7}"/>
    <cellStyle name="Normal 2 4 3 3 5 3 3" xfId="22414" xr:uid="{21ED6EFB-AC4C-48AA-8170-E8C29F721C63}"/>
    <cellStyle name="Normal 2 4 3 3 5 4" xfId="9749" xr:uid="{6365BA41-1196-4B60-B10D-D6537A83DB9A}"/>
    <cellStyle name="Normal 2 4 3 3 5 5" xfId="18197" xr:uid="{DDA15711-A47B-4E9C-BDD5-DB0E8819DE6A}"/>
    <cellStyle name="Normal 2 4 3 3 6" xfId="1623" xr:uid="{00000000-0005-0000-0000-000015100000}"/>
    <cellStyle name="Normal 2 4 3 3 6 2" xfId="3853" xr:uid="{00000000-0005-0000-0000-000016100000}"/>
    <cellStyle name="Normal 2 4 3 3 6 2 2" xfId="8075" xr:uid="{00000000-0005-0000-0000-000017100000}"/>
    <cellStyle name="Normal 2 4 3 3 6 2 2 2" xfId="16525" xr:uid="{156A83A4-7EA7-450D-96C0-4927493DA346}"/>
    <cellStyle name="Normal 2 4 3 3 6 2 2 3" xfId="24972" xr:uid="{2DB49A71-A7AE-4111-B974-84EB3BAC2014}"/>
    <cellStyle name="Normal 2 4 3 3 6 2 3" xfId="12307" xr:uid="{536612A9-681C-416E-88B6-DCDC4DB04CE8}"/>
    <cellStyle name="Normal 2 4 3 3 6 2 4" xfId="20755" xr:uid="{DAC4DB23-3143-4272-AA95-49E93C5EB277}"/>
    <cellStyle name="Normal 2 4 3 3 6 3" xfId="5930" xr:uid="{00000000-0005-0000-0000-000018100000}"/>
    <cellStyle name="Normal 2 4 3 3 6 3 2" xfId="14380" xr:uid="{330EFD93-AF8C-4777-9DB5-985A91D3BEDE}"/>
    <cellStyle name="Normal 2 4 3 3 6 3 3" xfId="22827" xr:uid="{CE4FCB48-991D-48A5-B64C-883E6FED9B90}"/>
    <cellStyle name="Normal 2 4 3 3 6 4" xfId="10162" xr:uid="{3AEB4132-4DFD-4DD3-B6A9-6DC20B100ADE}"/>
    <cellStyle name="Normal 2 4 3 3 6 5" xfId="18610" xr:uid="{18A12F4D-C80F-4585-BC94-1BF841D6B043}"/>
    <cellStyle name="Normal 2 4 3 3 7" xfId="2037" xr:uid="{00000000-0005-0000-0000-000019100000}"/>
    <cellStyle name="Normal 2 4 3 3 7 2" xfId="4266" xr:uid="{00000000-0005-0000-0000-00001A100000}"/>
    <cellStyle name="Normal 2 4 3 3 7 2 2" xfId="8488" xr:uid="{00000000-0005-0000-0000-00001B100000}"/>
    <cellStyle name="Normal 2 4 3 3 7 2 2 2" xfId="16938" xr:uid="{DF1521AF-EA91-47A1-9B85-0DAD75F7A06E}"/>
    <cellStyle name="Normal 2 4 3 3 7 2 2 3" xfId="25385" xr:uid="{506C46BC-A019-4AFA-A9AB-7565F2B8B172}"/>
    <cellStyle name="Normal 2 4 3 3 7 2 3" xfId="12720" xr:uid="{004185D8-6662-4289-A55A-81E50943CBE4}"/>
    <cellStyle name="Normal 2 4 3 3 7 2 4" xfId="21168" xr:uid="{16B1557E-8FB8-47F0-849B-E133722C8E19}"/>
    <cellStyle name="Normal 2 4 3 3 7 3" xfId="6343" xr:uid="{00000000-0005-0000-0000-00001C100000}"/>
    <cellStyle name="Normal 2 4 3 3 7 3 2" xfId="14793" xr:uid="{DC93E6A3-44B8-4A3C-9D48-07272EFF2941}"/>
    <cellStyle name="Normal 2 4 3 3 7 3 3" xfId="23240" xr:uid="{01BDF751-92BC-4749-9A88-83C697712DB0}"/>
    <cellStyle name="Normal 2 4 3 3 7 4" xfId="10575" xr:uid="{5B6730D0-27C8-465F-A9CE-64AF83C3C1C2}"/>
    <cellStyle name="Normal 2 4 3 3 7 5" xfId="19023" xr:uid="{61A6D22D-1C48-4AAF-B304-0DC9FBD4F009}"/>
    <cellStyle name="Normal 2 4 3 3 8" xfId="2473" xr:uid="{00000000-0005-0000-0000-00001D100000}"/>
    <cellStyle name="Normal 2 4 3 3 8 2" xfId="6756" xr:uid="{00000000-0005-0000-0000-00001E100000}"/>
    <cellStyle name="Normal 2 4 3 3 8 2 2" xfId="15206" xr:uid="{5A318805-CB2E-4038-A325-BCFD86BCCF52}"/>
    <cellStyle name="Normal 2 4 3 3 8 2 3" xfId="23653" xr:uid="{8FA6B6CC-024F-4B3F-9B57-E7A840C3AA5D}"/>
    <cellStyle name="Normal 2 4 3 3 8 3" xfId="10988" xr:uid="{3B2DA979-F258-4FB6-9FCF-2D19291AF4B0}"/>
    <cellStyle name="Normal 2 4 3 3 8 4" xfId="19436" xr:uid="{E6DE9F6A-9E72-483D-8E0B-5632F19E6B23}"/>
    <cellStyle name="Normal 2 4 3 3 9" xfId="4690" xr:uid="{00000000-0005-0000-0000-00001F100000}"/>
    <cellStyle name="Normal 2 4 3 3 9 2" xfId="13140" xr:uid="{77FA05A5-D339-4168-80E8-E1D4CACAF806}"/>
    <cellStyle name="Normal 2 4 3 3 9 3" xfId="21587" xr:uid="{30DF31B6-44ED-4BD7-9C89-EB455695E756}"/>
    <cellStyle name="Normal 2 4 3 4" xfId="787" xr:uid="{00000000-0005-0000-0000-000020100000}"/>
    <cellStyle name="Normal 2 4 3 4 2" xfId="3026" xr:uid="{00000000-0005-0000-0000-000021100000}"/>
    <cellStyle name="Normal 2 4 3 4 2 2" xfId="7248" xr:uid="{00000000-0005-0000-0000-000022100000}"/>
    <cellStyle name="Normal 2 4 3 4 2 2 2" xfId="15698" xr:uid="{C5A5D635-9CD3-4C25-82B6-5885FDE52475}"/>
    <cellStyle name="Normal 2 4 3 4 2 2 3" xfId="24145" xr:uid="{A89ACCA3-91C5-4838-BC98-914EB1112F1A}"/>
    <cellStyle name="Normal 2 4 3 4 2 3" xfId="11480" xr:uid="{ACDD2DF2-73E4-4158-A699-EC98E35981EC}"/>
    <cellStyle name="Normal 2 4 3 4 2 4" xfId="19928" xr:uid="{876AF2B8-3C1C-45D9-B4AF-9D95E8BCB854}"/>
    <cellStyle name="Normal 2 4 3 4 3" xfId="5103" xr:uid="{00000000-0005-0000-0000-000023100000}"/>
    <cellStyle name="Normal 2 4 3 4 3 2" xfId="13553" xr:uid="{D452AEF3-D649-4E6E-99D4-1754CFA4808B}"/>
    <cellStyle name="Normal 2 4 3 4 3 3" xfId="22000" xr:uid="{3A59DF27-02EE-47D8-B5A6-4E5AEB6320C9}"/>
    <cellStyle name="Normal 2 4 3 4 4" xfId="9335" xr:uid="{2EAC9FE7-5A2C-479D-8FB9-509955F0A66D}"/>
    <cellStyle name="Normal 2 4 3 4 5" xfId="17783" xr:uid="{8BAE4C0E-81AC-423A-AD4B-F840393D9C08}"/>
    <cellStyle name="Normal 2 4 3 5" xfId="1209" xr:uid="{00000000-0005-0000-0000-000024100000}"/>
    <cellStyle name="Normal 2 4 3 5 2" xfId="3439" xr:uid="{00000000-0005-0000-0000-000025100000}"/>
    <cellStyle name="Normal 2 4 3 5 2 2" xfId="7661" xr:uid="{00000000-0005-0000-0000-000026100000}"/>
    <cellStyle name="Normal 2 4 3 5 2 2 2" xfId="16111" xr:uid="{ABF449D4-F628-4D06-8602-27115FBD45B0}"/>
    <cellStyle name="Normal 2 4 3 5 2 2 3" xfId="24558" xr:uid="{724609AE-A793-482F-B3EF-42D23A437EB8}"/>
    <cellStyle name="Normal 2 4 3 5 2 3" xfId="11893" xr:uid="{A2A72B6F-1FBE-4965-A983-C03105AE92C0}"/>
    <cellStyle name="Normal 2 4 3 5 2 4" xfId="20341" xr:uid="{CA0EACB5-F454-4074-A62B-0B7C3655FDAA}"/>
    <cellStyle name="Normal 2 4 3 5 3" xfId="5516" xr:uid="{00000000-0005-0000-0000-000027100000}"/>
    <cellStyle name="Normal 2 4 3 5 3 2" xfId="13966" xr:uid="{A8118F98-ADCF-4B67-94B6-3247CFC124C1}"/>
    <cellStyle name="Normal 2 4 3 5 3 3" xfId="22413" xr:uid="{E1E15C09-E422-4FF3-A881-161AE813787C}"/>
    <cellStyle name="Normal 2 4 3 5 4" xfId="9748" xr:uid="{314741DC-1D5F-4385-8456-B33A13EBF844}"/>
    <cellStyle name="Normal 2 4 3 5 5" xfId="18196" xr:uid="{149E5DD0-9372-4095-9BB3-A4136BB35A48}"/>
    <cellStyle name="Normal 2 4 3 6" xfId="1622" xr:uid="{00000000-0005-0000-0000-000028100000}"/>
    <cellStyle name="Normal 2 4 3 6 2" xfId="3852" xr:uid="{00000000-0005-0000-0000-000029100000}"/>
    <cellStyle name="Normal 2 4 3 6 2 2" xfId="8074" xr:uid="{00000000-0005-0000-0000-00002A100000}"/>
    <cellStyle name="Normal 2 4 3 6 2 2 2" xfId="16524" xr:uid="{09CEA171-0BF0-493F-9EE8-1A901DD248BE}"/>
    <cellStyle name="Normal 2 4 3 6 2 2 3" xfId="24971" xr:uid="{92C0B083-52D9-49DF-855D-4688B590195D}"/>
    <cellStyle name="Normal 2 4 3 6 2 3" xfId="12306" xr:uid="{83E7A220-589A-4D65-9811-3282EEDDE23F}"/>
    <cellStyle name="Normal 2 4 3 6 2 4" xfId="20754" xr:uid="{58A60FA2-BBC8-4ED8-B33E-C139F5B934B9}"/>
    <cellStyle name="Normal 2 4 3 6 3" xfId="5929" xr:uid="{00000000-0005-0000-0000-00002B100000}"/>
    <cellStyle name="Normal 2 4 3 6 3 2" xfId="14379" xr:uid="{B08496EB-6B54-479C-B8AD-D2DFAC7275DB}"/>
    <cellStyle name="Normal 2 4 3 6 3 3" xfId="22826" xr:uid="{830A9F8C-2AC0-4C7E-AE83-C6D259E2F76F}"/>
    <cellStyle name="Normal 2 4 3 6 4" xfId="10161" xr:uid="{3C5AF189-0181-42AF-978B-34D5D6FC049F}"/>
    <cellStyle name="Normal 2 4 3 6 5" xfId="18609" xr:uid="{F3FDB0BE-9A92-40F5-9E05-40C28F7EE999}"/>
    <cellStyle name="Normal 2 4 3 7" xfId="2036" xr:uid="{00000000-0005-0000-0000-00002C100000}"/>
    <cellStyle name="Normal 2 4 3 7 2" xfId="4265" xr:uid="{00000000-0005-0000-0000-00002D100000}"/>
    <cellStyle name="Normal 2 4 3 7 2 2" xfId="8487" xr:uid="{00000000-0005-0000-0000-00002E100000}"/>
    <cellStyle name="Normal 2 4 3 7 2 2 2" xfId="16937" xr:uid="{0303DF99-A96A-441B-8C18-FBEE07929AAA}"/>
    <cellStyle name="Normal 2 4 3 7 2 2 3" xfId="25384" xr:uid="{438E8768-ADE8-4E74-84E3-263CC4B8982D}"/>
    <cellStyle name="Normal 2 4 3 7 2 3" xfId="12719" xr:uid="{58068FA6-E71B-4A5B-8CF3-DAB051530BA7}"/>
    <cellStyle name="Normal 2 4 3 7 2 4" xfId="21167" xr:uid="{3897CA8D-B6B3-4276-947A-5D2DDD9B1399}"/>
    <cellStyle name="Normal 2 4 3 7 3" xfId="6342" xr:uid="{00000000-0005-0000-0000-00002F100000}"/>
    <cellStyle name="Normal 2 4 3 7 3 2" xfId="14792" xr:uid="{EE36667E-41F3-4798-B853-FC80320273FF}"/>
    <cellStyle name="Normal 2 4 3 7 3 3" xfId="23239" xr:uid="{C215E1C0-4A93-4316-AF77-33E43C7636ED}"/>
    <cellStyle name="Normal 2 4 3 7 4" xfId="10574" xr:uid="{03500C14-92DC-4045-9A5C-CA1C4B243D26}"/>
    <cellStyle name="Normal 2 4 3 7 5" xfId="19022" xr:uid="{F927FCFC-F53F-4034-93BE-71DC12603F0E}"/>
    <cellStyle name="Normal 2 4 3 8" xfId="2472" xr:uid="{00000000-0005-0000-0000-000030100000}"/>
    <cellStyle name="Normal 2 4 3 8 2" xfId="6755" xr:uid="{00000000-0005-0000-0000-000031100000}"/>
    <cellStyle name="Normal 2 4 3 8 2 2" xfId="15205" xr:uid="{FDA92302-0733-4F60-A29D-DBDC9EB0898D}"/>
    <cellStyle name="Normal 2 4 3 8 2 3" xfId="23652" xr:uid="{32D52B7A-3FE3-4D64-BA78-03E8BC89386B}"/>
    <cellStyle name="Normal 2 4 3 8 3" xfId="10987" xr:uid="{D391A245-A9C5-46C4-971C-C60E8147E888}"/>
    <cellStyle name="Normal 2 4 3 8 4" xfId="19435" xr:uid="{E6939A71-03C0-459F-B660-5410D203DBF0}"/>
    <cellStyle name="Normal 2 4 3 9" xfId="4689" xr:uid="{00000000-0005-0000-0000-000032100000}"/>
    <cellStyle name="Normal 2 4 3 9 2" xfId="13139" xr:uid="{086C6202-3695-485D-8BD4-C8E1DE34AB0E}"/>
    <cellStyle name="Normal 2 4 3 9 3" xfId="21586" xr:uid="{0FFCA938-D72F-479D-A23D-36A10193BB55}"/>
    <cellStyle name="Normal 2 4 4" xfId="302" xr:uid="{00000000-0005-0000-0000-000033100000}"/>
    <cellStyle name="Normal 2 4 5" xfId="303" xr:uid="{00000000-0005-0000-0000-000034100000}"/>
    <cellStyle name="Normal 2 4 5 10" xfId="4694" xr:uid="{00000000-0005-0000-0000-000035100000}"/>
    <cellStyle name="Normal 2 4 5 10 2" xfId="13144" xr:uid="{8D5C49D7-5BC2-47CA-A0E0-FBA639977277}"/>
    <cellStyle name="Normal 2 4 5 10 3" xfId="21591" xr:uid="{9F539F75-479A-49A8-BB28-C8B107FA9756}"/>
    <cellStyle name="Normal 2 4 5 11" xfId="8926" xr:uid="{BA569F4D-D979-480F-BA27-BED012DA2C12}"/>
    <cellStyle name="Normal 2 4 5 12" xfId="17374" xr:uid="{47AB06AE-5DE6-44AD-8EF7-6096ED46EC8A}"/>
    <cellStyle name="Normal 2 4 5 2" xfId="304" xr:uid="{00000000-0005-0000-0000-000036100000}"/>
    <cellStyle name="Normal 2 4 5 2 10" xfId="8927" xr:uid="{209F174A-BE45-4809-97B2-354CF793B6C5}"/>
    <cellStyle name="Normal 2 4 5 2 11" xfId="17375" xr:uid="{06B7E479-6D37-4E06-921C-C518CE5FCF36}"/>
    <cellStyle name="Normal 2 4 5 2 2" xfId="305" xr:uid="{00000000-0005-0000-0000-000037100000}"/>
    <cellStyle name="Normal 2 4 5 2 2 10" xfId="17376" xr:uid="{DDFE9E7D-E5CB-41DF-81D7-2C01B7DACF9D}"/>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2 2 2" xfId="15706" xr:uid="{818A2820-B335-4756-B015-EEF1E31C681C}"/>
    <cellStyle name="Normal 2 4 5 2 2 2 2 2 2 3" xfId="24153" xr:uid="{85348B2C-1E53-4374-B790-7E77128284BB}"/>
    <cellStyle name="Normal 2 4 5 2 2 2 2 2 3" xfId="11488" xr:uid="{36D8327C-0556-4DEC-B0DB-1503B6021E26}"/>
    <cellStyle name="Normal 2 4 5 2 2 2 2 2 4" xfId="19936" xr:uid="{AE57A8B9-85BB-4AE4-A252-B9D924A9C3C6}"/>
    <cellStyle name="Normal 2 4 5 2 2 2 2 3" xfId="5111" xr:uid="{00000000-0005-0000-0000-00003C100000}"/>
    <cellStyle name="Normal 2 4 5 2 2 2 2 3 2" xfId="13561" xr:uid="{66E399D8-F0E9-4FDC-87EE-DFFCB7916143}"/>
    <cellStyle name="Normal 2 4 5 2 2 2 2 3 3" xfId="22008" xr:uid="{B6741BA8-C6A6-4FD6-B6A1-CD6BFBC7D1F0}"/>
    <cellStyle name="Normal 2 4 5 2 2 2 2 4" xfId="9343" xr:uid="{1292514C-72AA-4791-A8D4-0E5AA39A6BDF}"/>
    <cellStyle name="Normal 2 4 5 2 2 2 2 5" xfId="17791" xr:uid="{DC61CA4A-DC1E-4F87-B1B5-60239F1E682C}"/>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2 2 2" xfId="16119" xr:uid="{A50B8DFA-F13C-442A-BAB9-1D53804E950C}"/>
    <cellStyle name="Normal 2 4 5 2 2 2 3 2 2 3" xfId="24566" xr:uid="{A31AF67D-1B15-47AF-A54E-1A225032653A}"/>
    <cellStyle name="Normal 2 4 5 2 2 2 3 2 3" xfId="11901" xr:uid="{2CF0E12C-9B7A-4D5B-A00D-F2D71EF202A5}"/>
    <cellStyle name="Normal 2 4 5 2 2 2 3 2 4" xfId="20349" xr:uid="{77D29CDD-EC2C-4883-933F-721B6EF16EA1}"/>
    <cellStyle name="Normal 2 4 5 2 2 2 3 3" xfId="5524" xr:uid="{00000000-0005-0000-0000-000040100000}"/>
    <cellStyle name="Normal 2 4 5 2 2 2 3 3 2" xfId="13974" xr:uid="{973B4A5F-BD3F-45C8-9EF2-66E142D8906B}"/>
    <cellStyle name="Normal 2 4 5 2 2 2 3 3 3" xfId="22421" xr:uid="{1D160D4B-4F13-46C2-8035-DD69DE93AE15}"/>
    <cellStyle name="Normal 2 4 5 2 2 2 3 4" xfId="9756" xr:uid="{F1041A2B-178C-4826-91C7-FFBD2BE0DCBA}"/>
    <cellStyle name="Normal 2 4 5 2 2 2 3 5" xfId="18204" xr:uid="{98305ABF-DDA0-44BA-BAAC-850990CC55B1}"/>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2 2 2" xfId="16532" xr:uid="{A1B4A24A-2A3D-48DE-A8A4-1FB47786AFD8}"/>
    <cellStyle name="Normal 2 4 5 2 2 2 4 2 2 3" xfId="24979" xr:uid="{887079EE-8ECC-48A0-858B-AE49FC0170E6}"/>
    <cellStyle name="Normal 2 4 5 2 2 2 4 2 3" xfId="12314" xr:uid="{D89AD5DD-3EEF-4F0B-9ADD-D5576E28E331}"/>
    <cellStyle name="Normal 2 4 5 2 2 2 4 2 4" xfId="20762" xr:uid="{AC18A58C-4B8C-4601-B5A7-679A2F50EAB2}"/>
    <cellStyle name="Normal 2 4 5 2 2 2 4 3" xfId="5937" xr:uid="{00000000-0005-0000-0000-000044100000}"/>
    <cellStyle name="Normal 2 4 5 2 2 2 4 3 2" xfId="14387" xr:uid="{42E8BF01-84C7-4852-9F99-88C3AE0CD6E3}"/>
    <cellStyle name="Normal 2 4 5 2 2 2 4 3 3" xfId="22834" xr:uid="{24BC33CC-8493-4822-9592-1FCBDE615986}"/>
    <cellStyle name="Normal 2 4 5 2 2 2 4 4" xfId="10169" xr:uid="{DA7FA345-511D-4B94-8DE6-DD0CDF937ECC}"/>
    <cellStyle name="Normal 2 4 5 2 2 2 4 5" xfId="18617" xr:uid="{88BDA2E5-FEE5-49A4-9CDA-5847321AD7C4}"/>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2 2 2" xfId="16945" xr:uid="{6596BC41-A9AA-4C15-8AAB-D566A3434BE7}"/>
    <cellStyle name="Normal 2 4 5 2 2 2 5 2 2 3" xfId="25392" xr:uid="{3B9B778C-FFBA-4E5A-9A1D-B369004DD680}"/>
    <cellStyle name="Normal 2 4 5 2 2 2 5 2 3" xfId="12727" xr:uid="{1468F768-5CEB-4226-9F01-0A21A34F49B1}"/>
    <cellStyle name="Normal 2 4 5 2 2 2 5 2 4" xfId="21175" xr:uid="{39A1B966-94C6-4475-AFDA-3305D371F611}"/>
    <cellStyle name="Normal 2 4 5 2 2 2 5 3" xfId="6350" xr:uid="{00000000-0005-0000-0000-000048100000}"/>
    <cellStyle name="Normal 2 4 5 2 2 2 5 3 2" xfId="14800" xr:uid="{F91E66F9-EB04-4A21-A400-DEE17F497390}"/>
    <cellStyle name="Normal 2 4 5 2 2 2 5 3 3" xfId="23247" xr:uid="{E1549C35-096F-4992-B47F-FE2140702118}"/>
    <cellStyle name="Normal 2 4 5 2 2 2 5 4" xfId="10582" xr:uid="{F00FD021-741C-4078-A41B-F88B16AF71F9}"/>
    <cellStyle name="Normal 2 4 5 2 2 2 5 5" xfId="19030" xr:uid="{7EC13AF9-FC20-45B2-A0F1-8D16DAA7B05D}"/>
    <cellStyle name="Normal 2 4 5 2 2 2 6" xfId="2480" xr:uid="{00000000-0005-0000-0000-000049100000}"/>
    <cellStyle name="Normal 2 4 5 2 2 2 6 2" xfId="6763" xr:uid="{00000000-0005-0000-0000-00004A100000}"/>
    <cellStyle name="Normal 2 4 5 2 2 2 6 2 2" xfId="15213" xr:uid="{27AE5973-FFF6-43F1-BC92-5DCFDB7BFDA8}"/>
    <cellStyle name="Normal 2 4 5 2 2 2 6 2 3" xfId="23660" xr:uid="{0B1A5FC4-7D7E-423D-8B68-9183CCD15685}"/>
    <cellStyle name="Normal 2 4 5 2 2 2 6 3" xfId="10995" xr:uid="{DE138B68-8907-4E71-AD64-90BF650D20A3}"/>
    <cellStyle name="Normal 2 4 5 2 2 2 6 4" xfId="19443" xr:uid="{341E490B-91FA-4C13-912D-CDE948E163EB}"/>
    <cellStyle name="Normal 2 4 5 2 2 2 7" xfId="4697" xr:uid="{00000000-0005-0000-0000-00004B100000}"/>
    <cellStyle name="Normal 2 4 5 2 2 2 7 2" xfId="13147" xr:uid="{D689E67B-E5BD-435F-AF24-8763A2CF008D}"/>
    <cellStyle name="Normal 2 4 5 2 2 2 7 3" xfId="21594" xr:uid="{8DD20ACB-3079-4C15-AD58-8B2F96251A5E}"/>
    <cellStyle name="Normal 2 4 5 2 2 2 8" xfId="8929" xr:uid="{DAA4DE6C-FFA4-45EE-BB53-39B355E0F82C}"/>
    <cellStyle name="Normal 2 4 5 2 2 2 9" xfId="17377" xr:uid="{38C8DE3E-325B-4A3D-AB6F-B1D476370A0D}"/>
    <cellStyle name="Normal 2 4 5 2 2 3" xfId="794" xr:uid="{00000000-0005-0000-0000-00004C100000}"/>
    <cellStyle name="Normal 2 4 5 2 2 3 2" xfId="3033" xr:uid="{00000000-0005-0000-0000-00004D100000}"/>
    <cellStyle name="Normal 2 4 5 2 2 3 2 2" xfId="7255" xr:uid="{00000000-0005-0000-0000-00004E100000}"/>
    <cellStyle name="Normal 2 4 5 2 2 3 2 2 2" xfId="15705" xr:uid="{7B7B8A15-C3B2-4BB9-9523-C42BB74118E8}"/>
    <cellStyle name="Normal 2 4 5 2 2 3 2 2 3" xfId="24152" xr:uid="{1DC24E7E-3B1B-4741-8745-66A714B8CB9B}"/>
    <cellStyle name="Normal 2 4 5 2 2 3 2 3" xfId="11487" xr:uid="{E91067EC-0856-452E-A2FA-49DCA25D7FAB}"/>
    <cellStyle name="Normal 2 4 5 2 2 3 2 4" xfId="19935" xr:uid="{D165BFCF-4B15-4FF8-B910-F0882119F8ED}"/>
    <cellStyle name="Normal 2 4 5 2 2 3 3" xfId="5110" xr:uid="{00000000-0005-0000-0000-00004F100000}"/>
    <cellStyle name="Normal 2 4 5 2 2 3 3 2" xfId="13560" xr:uid="{7B79F7EB-B17C-45D1-A086-A9170A1303D0}"/>
    <cellStyle name="Normal 2 4 5 2 2 3 3 3" xfId="22007" xr:uid="{887A6C42-58E5-4073-9AC9-6CEBEB20BCFF}"/>
    <cellStyle name="Normal 2 4 5 2 2 3 4" xfId="9342" xr:uid="{21F13C28-CC99-4CC2-B829-B7AAA0D8F9A1}"/>
    <cellStyle name="Normal 2 4 5 2 2 3 5" xfId="17790" xr:uid="{67FFE708-2C03-4EDB-9968-1C7B54B625F7}"/>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2 2 2" xfId="16118" xr:uid="{B0841CFD-B223-43C1-8891-A4279A7E1CF1}"/>
    <cellStyle name="Normal 2 4 5 2 2 4 2 2 3" xfId="24565" xr:uid="{620DE6CA-C320-4550-8125-81F6EC83DFD3}"/>
    <cellStyle name="Normal 2 4 5 2 2 4 2 3" xfId="11900" xr:uid="{F01D8EBD-2C3C-4813-9AAF-102504981003}"/>
    <cellStyle name="Normal 2 4 5 2 2 4 2 4" xfId="20348" xr:uid="{2044E02B-B6D7-4CB8-97A8-91FD31247518}"/>
    <cellStyle name="Normal 2 4 5 2 2 4 3" xfId="5523" xr:uid="{00000000-0005-0000-0000-000053100000}"/>
    <cellStyle name="Normal 2 4 5 2 2 4 3 2" xfId="13973" xr:uid="{F9A15758-CB9D-466D-8F2E-7637E6E8A6EE}"/>
    <cellStyle name="Normal 2 4 5 2 2 4 3 3" xfId="22420" xr:uid="{05802C0B-AAB1-4F8C-8573-0D1E640B4503}"/>
    <cellStyle name="Normal 2 4 5 2 2 4 4" xfId="9755" xr:uid="{62AB9FAF-8B52-4B63-9925-31AE1C2F8784}"/>
    <cellStyle name="Normal 2 4 5 2 2 4 5" xfId="18203" xr:uid="{C3D31B6C-055C-4721-A278-BFE77E35BE91}"/>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2 2 2" xfId="16531" xr:uid="{7055307F-3D8C-4182-AFF9-4E4E2A1BA975}"/>
    <cellStyle name="Normal 2 4 5 2 2 5 2 2 3" xfId="24978" xr:uid="{D36A45B2-10A7-4BBF-9A4D-1F677F7C4DE3}"/>
    <cellStyle name="Normal 2 4 5 2 2 5 2 3" xfId="12313" xr:uid="{0DCCBB0A-5D1D-42B8-B7A5-0761D28B1BEA}"/>
    <cellStyle name="Normal 2 4 5 2 2 5 2 4" xfId="20761" xr:uid="{445A7C0B-594E-43CC-99B7-984358E65CCE}"/>
    <cellStyle name="Normal 2 4 5 2 2 5 3" xfId="5936" xr:uid="{00000000-0005-0000-0000-000057100000}"/>
    <cellStyle name="Normal 2 4 5 2 2 5 3 2" xfId="14386" xr:uid="{41B0F244-9916-41A2-A917-099FBB896081}"/>
    <cellStyle name="Normal 2 4 5 2 2 5 3 3" xfId="22833" xr:uid="{B0F6FC91-1AEA-4A91-A485-5FF2C9687EF9}"/>
    <cellStyle name="Normal 2 4 5 2 2 5 4" xfId="10168" xr:uid="{D84B93E5-7807-4EA0-A2A8-CEAEFD1FEEEC}"/>
    <cellStyle name="Normal 2 4 5 2 2 5 5" xfId="18616" xr:uid="{4613B21C-6746-4EDF-981C-7DA841462AAC}"/>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2 2 2" xfId="16944" xr:uid="{4BFB6C91-44E7-4B6D-8151-311C6A46D2B0}"/>
    <cellStyle name="Normal 2 4 5 2 2 6 2 2 3" xfId="25391" xr:uid="{686A6B42-DE30-4572-9B78-2AD34CCDD58F}"/>
    <cellStyle name="Normal 2 4 5 2 2 6 2 3" xfId="12726" xr:uid="{247AFB88-F7AA-46BD-AD42-DECE24E4D418}"/>
    <cellStyle name="Normal 2 4 5 2 2 6 2 4" xfId="21174" xr:uid="{D3BB5EA2-B8F3-4D0C-83FC-B729D64C7041}"/>
    <cellStyle name="Normal 2 4 5 2 2 6 3" xfId="6349" xr:uid="{00000000-0005-0000-0000-00005B100000}"/>
    <cellStyle name="Normal 2 4 5 2 2 6 3 2" xfId="14799" xr:uid="{70C8859F-F6B7-411D-9EEB-A5B4A08F64E5}"/>
    <cellStyle name="Normal 2 4 5 2 2 6 3 3" xfId="23246" xr:uid="{4830DDF1-6AF9-4E66-8020-73E56E5BAA0C}"/>
    <cellStyle name="Normal 2 4 5 2 2 6 4" xfId="10581" xr:uid="{BBCD7645-92DC-4878-B280-B885EC4302EE}"/>
    <cellStyle name="Normal 2 4 5 2 2 6 5" xfId="19029" xr:uid="{A1684537-93DE-416D-93CB-66138090E2F7}"/>
    <cellStyle name="Normal 2 4 5 2 2 7" xfId="2479" xr:uid="{00000000-0005-0000-0000-00005C100000}"/>
    <cellStyle name="Normal 2 4 5 2 2 7 2" xfId="6762" xr:uid="{00000000-0005-0000-0000-00005D100000}"/>
    <cellStyle name="Normal 2 4 5 2 2 7 2 2" xfId="15212" xr:uid="{44C82858-9011-4D80-871F-F554CF6E2212}"/>
    <cellStyle name="Normal 2 4 5 2 2 7 2 3" xfId="23659" xr:uid="{4874B722-31BD-4A45-9B27-175848735A5D}"/>
    <cellStyle name="Normal 2 4 5 2 2 7 3" xfId="10994" xr:uid="{A222FFFC-AFFE-453E-B9AB-BEAC489D61C0}"/>
    <cellStyle name="Normal 2 4 5 2 2 7 4" xfId="19442" xr:uid="{343B1C01-E2AC-4182-99FB-9B8BD4E2ECB5}"/>
    <cellStyle name="Normal 2 4 5 2 2 8" xfId="4696" xr:uid="{00000000-0005-0000-0000-00005E100000}"/>
    <cellStyle name="Normal 2 4 5 2 2 8 2" xfId="13146" xr:uid="{7827AD45-BAB3-4A1B-9697-CB0DA8977381}"/>
    <cellStyle name="Normal 2 4 5 2 2 8 3" xfId="21593" xr:uid="{A9EA02CD-30C7-4105-B0C9-BF272F6DF769}"/>
    <cellStyle name="Normal 2 4 5 2 2 9" xfId="8928" xr:uid="{D9E399BB-3F59-46CC-A77F-AF69FF85E487}"/>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2 2 2" xfId="15707" xr:uid="{9CDB744D-82D9-42CC-9171-2FD12800B972}"/>
    <cellStyle name="Normal 2 4 5 2 3 2 2 2 3" xfId="24154" xr:uid="{30FB0204-FBBE-4E68-BB4F-EC9E3F040D4D}"/>
    <cellStyle name="Normal 2 4 5 2 3 2 2 3" xfId="11489" xr:uid="{E94A4F53-1A86-4AFE-8A92-E59031E21257}"/>
    <cellStyle name="Normal 2 4 5 2 3 2 2 4" xfId="19937" xr:uid="{0523DD7C-685A-4C45-8038-80EC09B3D20E}"/>
    <cellStyle name="Normal 2 4 5 2 3 2 3" xfId="5112" xr:uid="{00000000-0005-0000-0000-000063100000}"/>
    <cellStyle name="Normal 2 4 5 2 3 2 3 2" xfId="13562" xr:uid="{D47996A1-49AE-4830-9D66-45FE897241CE}"/>
    <cellStyle name="Normal 2 4 5 2 3 2 3 3" xfId="22009" xr:uid="{9D330267-75D1-4BED-9140-D5F0456EA5FF}"/>
    <cellStyle name="Normal 2 4 5 2 3 2 4" xfId="9344" xr:uid="{E492B905-A6D1-49B9-B8D1-87F18E7540CC}"/>
    <cellStyle name="Normal 2 4 5 2 3 2 5" xfId="17792" xr:uid="{D18C58C8-9EA3-4578-BD58-47611778D5A5}"/>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2 2 2" xfId="16120" xr:uid="{EDE601D0-F705-4EDA-B50D-47440E7A46DE}"/>
    <cellStyle name="Normal 2 4 5 2 3 3 2 2 3" xfId="24567" xr:uid="{224A763D-430C-4CAB-BE38-7D9C9923D19B}"/>
    <cellStyle name="Normal 2 4 5 2 3 3 2 3" xfId="11902" xr:uid="{B3C011B4-566E-4D0B-AA5C-7B033723A5E7}"/>
    <cellStyle name="Normal 2 4 5 2 3 3 2 4" xfId="20350" xr:uid="{18E85108-8BF6-4EAB-A45C-3E8D8CD48868}"/>
    <cellStyle name="Normal 2 4 5 2 3 3 3" xfId="5525" xr:uid="{00000000-0005-0000-0000-000067100000}"/>
    <cellStyle name="Normal 2 4 5 2 3 3 3 2" xfId="13975" xr:uid="{063395CF-6EA8-4276-9FA4-88ACCF9F4B6B}"/>
    <cellStyle name="Normal 2 4 5 2 3 3 3 3" xfId="22422" xr:uid="{2F2F2EB9-7819-49ED-9377-FF1982E27479}"/>
    <cellStyle name="Normal 2 4 5 2 3 3 4" xfId="9757" xr:uid="{D5AF113E-D67D-4D61-AB3D-DB9F6CE7E4E6}"/>
    <cellStyle name="Normal 2 4 5 2 3 3 5" xfId="18205" xr:uid="{F56125E6-38D0-4281-9CD8-2F5D969E634B}"/>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2 2 2" xfId="16533" xr:uid="{48335184-3EC8-4EBD-90A1-3DD9E7C5D7B4}"/>
    <cellStyle name="Normal 2 4 5 2 3 4 2 2 3" xfId="24980" xr:uid="{169D702A-0742-43F8-8655-59E64D7992BB}"/>
    <cellStyle name="Normal 2 4 5 2 3 4 2 3" xfId="12315" xr:uid="{3192A613-4549-4CE6-AB37-7B78D7AD85A9}"/>
    <cellStyle name="Normal 2 4 5 2 3 4 2 4" xfId="20763" xr:uid="{1EDFBEE9-5645-4DF1-8CA1-E15BB9668B14}"/>
    <cellStyle name="Normal 2 4 5 2 3 4 3" xfId="5938" xr:uid="{00000000-0005-0000-0000-00006B100000}"/>
    <cellStyle name="Normal 2 4 5 2 3 4 3 2" xfId="14388" xr:uid="{C23E42D1-1C85-47B1-9DA2-8C03A52BB6F5}"/>
    <cellStyle name="Normal 2 4 5 2 3 4 3 3" xfId="22835" xr:uid="{2D4C014C-9BC0-4E5F-91F1-07546E3F1C6D}"/>
    <cellStyle name="Normal 2 4 5 2 3 4 4" xfId="10170" xr:uid="{0B3132F9-AF73-442D-B229-56FCEC57B1D7}"/>
    <cellStyle name="Normal 2 4 5 2 3 4 5" xfId="18618" xr:uid="{933EBE23-A512-4791-BE69-A136E206E169}"/>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2 2 2" xfId="16946" xr:uid="{64EB50B6-C1CB-4714-94E0-53AB0B3DD6E9}"/>
    <cellStyle name="Normal 2 4 5 2 3 5 2 2 3" xfId="25393" xr:uid="{0CD7C6F3-BA88-4BE1-8308-29F5EF8A1CF7}"/>
    <cellStyle name="Normal 2 4 5 2 3 5 2 3" xfId="12728" xr:uid="{DE9BA97B-FA6C-4068-9BC3-0FEFB6DA51CD}"/>
    <cellStyle name="Normal 2 4 5 2 3 5 2 4" xfId="21176" xr:uid="{E1D3DB6D-9E74-4478-9B62-B5C86ED02B79}"/>
    <cellStyle name="Normal 2 4 5 2 3 5 3" xfId="6351" xr:uid="{00000000-0005-0000-0000-00006F100000}"/>
    <cellStyle name="Normal 2 4 5 2 3 5 3 2" xfId="14801" xr:uid="{E834247A-247B-411C-9599-0F1DA4675167}"/>
    <cellStyle name="Normal 2 4 5 2 3 5 3 3" xfId="23248" xr:uid="{51D26648-D076-4EFC-83C4-E590D66F2CBD}"/>
    <cellStyle name="Normal 2 4 5 2 3 5 4" xfId="10583" xr:uid="{7B90B209-607C-4A8B-84DE-7D00F8E6F2ED}"/>
    <cellStyle name="Normal 2 4 5 2 3 5 5" xfId="19031" xr:uid="{C0A77B55-FDF2-4F4C-A110-A3172E67018B}"/>
    <cellStyle name="Normal 2 4 5 2 3 6" xfId="2481" xr:uid="{00000000-0005-0000-0000-000070100000}"/>
    <cellStyle name="Normal 2 4 5 2 3 6 2" xfId="6764" xr:uid="{00000000-0005-0000-0000-000071100000}"/>
    <cellStyle name="Normal 2 4 5 2 3 6 2 2" xfId="15214" xr:uid="{8E2B3563-8A72-4A8E-ABBA-A734FC558CF6}"/>
    <cellStyle name="Normal 2 4 5 2 3 6 2 3" xfId="23661" xr:uid="{E2141BEA-12DC-4FB7-8374-282D672C7E11}"/>
    <cellStyle name="Normal 2 4 5 2 3 6 3" xfId="10996" xr:uid="{0271FA25-B488-40B9-8B12-79EBBB8AF31A}"/>
    <cellStyle name="Normal 2 4 5 2 3 6 4" xfId="19444" xr:uid="{2CBB30A4-97EC-46FD-A0C4-FAD8AE655345}"/>
    <cellStyle name="Normal 2 4 5 2 3 7" xfId="4698" xr:uid="{00000000-0005-0000-0000-000072100000}"/>
    <cellStyle name="Normal 2 4 5 2 3 7 2" xfId="13148" xr:uid="{399067F6-CB86-4721-BB8B-F31EBC04C40D}"/>
    <cellStyle name="Normal 2 4 5 2 3 7 3" xfId="21595" xr:uid="{D7D5E9BD-A76C-4D7C-9217-74739D607D85}"/>
    <cellStyle name="Normal 2 4 5 2 3 8" xfId="8930" xr:uid="{8142B9BE-36FA-47EE-8669-2DE6BD5BFB6D}"/>
    <cellStyle name="Normal 2 4 5 2 3 9" xfId="17378" xr:uid="{1E4B0B10-1512-4C94-B5BF-1F67B71E838F}"/>
    <cellStyle name="Normal 2 4 5 2 4" xfId="793" xr:uid="{00000000-0005-0000-0000-000073100000}"/>
    <cellStyle name="Normal 2 4 5 2 4 2" xfId="3032" xr:uid="{00000000-0005-0000-0000-000074100000}"/>
    <cellStyle name="Normal 2 4 5 2 4 2 2" xfId="7254" xr:uid="{00000000-0005-0000-0000-000075100000}"/>
    <cellStyle name="Normal 2 4 5 2 4 2 2 2" xfId="15704" xr:uid="{5B1DB802-98CD-45EB-9EA3-DE382106F3D8}"/>
    <cellStyle name="Normal 2 4 5 2 4 2 2 3" xfId="24151" xr:uid="{84C5DC50-E1C3-476D-97C5-4E15B2930958}"/>
    <cellStyle name="Normal 2 4 5 2 4 2 3" xfId="11486" xr:uid="{FD38A90D-A550-4F3B-873C-2182C7077DFF}"/>
    <cellStyle name="Normal 2 4 5 2 4 2 4" xfId="19934" xr:uid="{262E77F1-3FDF-4785-965D-96702CD0BFFE}"/>
    <cellStyle name="Normal 2 4 5 2 4 3" xfId="5109" xr:uid="{00000000-0005-0000-0000-000076100000}"/>
    <cellStyle name="Normal 2 4 5 2 4 3 2" xfId="13559" xr:uid="{5A51428A-3444-4E7E-8F3A-431BC83CFE56}"/>
    <cellStyle name="Normal 2 4 5 2 4 3 3" xfId="22006" xr:uid="{A5ECE784-1718-4400-B7F5-801F50EA55D5}"/>
    <cellStyle name="Normal 2 4 5 2 4 4" xfId="9341" xr:uid="{687DC73E-CB46-493F-AFA3-D4968AADC138}"/>
    <cellStyle name="Normal 2 4 5 2 4 5" xfId="17789" xr:uid="{265A2A5B-ED5D-45A0-BE27-93D13A68CDD3}"/>
    <cellStyle name="Normal 2 4 5 2 5" xfId="1215" xr:uid="{00000000-0005-0000-0000-000077100000}"/>
    <cellStyle name="Normal 2 4 5 2 5 2" xfId="3445" xr:uid="{00000000-0005-0000-0000-000078100000}"/>
    <cellStyle name="Normal 2 4 5 2 5 2 2" xfId="7667" xr:uid="{00000000-0005-0000-0000-000079100000}"/>
    <cellStyle name="Normal 2 4 5 2 5 2 2 2" xfId="16117" xr:uid="{9A6318A7-0FC2-4953-8EAD-E46D054DFE44}"/>
    <cellStyle name="Normal 2 4 5 2 5 2 2 3" xfId="24564" xr:uid="{68371189-B068-4CC6-93E5-A9E695C98FF0}"/>
    <cellStyle name="Normal 2 4 5 2 5 2 3" xfId="11899" xr:uid="{E0C2C937-08B8-40C0-82CC-1378ECEC4A86}"/>
    <cellStyle name="Normal 2 4 5 2 5 2 4" xfId="20347" xr:uid="{4867CCD1-C131-4857-8A71-90A21873CD52}"/>
    <cellStyle name="Normal 2 4 5 2 5 3" xfId="5522" xr:uid="{00000000-0005-0000-0000-00007A100000}"/>
    <cellStyle name="Normal 2 4 5 2 5 3 2" xfId="13972" xr:uid="{A49E9EB2-98DC-4F61-A245-9B7F92F084D6}"/>
    <cellStyle name="Normal 2 4 5 2 5 3 3" xfId="22419" xr:uid="{A9FA5842-7127-4141-89FE-0FCC115EABFC}"/>
    <cellStyle name="Normal 2 4 5 2 5 4" xfId="9754" xr:uid="{047BDCD6-36DD-4458-A943-B0FF30C0E865}"/>
    <cellStyle name="Normal 2 4 5 2 5 5" xfId="18202" xr:uid="{FA2ACB46-CAC6-44F3-85D2-4B1AF70F63E5}"/>
    <cellStyle name="Normal 2 4 5 2 6" xfId="1628" xr:uid="{00000000-0005-0000-0000-00007B100000}"/>
    <cellStyle name="Normal 2 4 5 2 6 2" xfId="3858" xr:uid="{00000000-0005-0000-0000-00007C100000}"/>
    <cellStyle name="Normal 2 4 5 2 6 2 2" xfId="8080" xr:uid="{00000000-0005-0000-0000-00007D100000}"/>
    <cellStyle name="Normal 2 4 5 2 6 2 2 2" xfId="16530" xr:uid="{D4DE3C42-6AA6-4E89-BB46-CC13FF52B3EA}"/>
    <cellStyle name="Normal 2 4 5 2 6 2 2 3" xfId="24977" xr:uid="{95C29581-B74A-4B9C-B9AC-9850597F12DB}"/>
    <cellStyle name="Normal 2 4 5 2 6 2 3" xfId="12312" xr:uid="{2B4E3624-D7FF-409F-9660-0C34CD326AA0}"/>
    <cellStyle name="Normal 2 4 5 2 6 2 4" xfId="20760" xr:uid="{F1A21E04-D831-48AC-ADCF-D1C1BAF3C092}"/>
    <cellStyle name="Normal 2 4 5 2 6 3" xfId="5935" xr:uid="{00000000-0005-0000-0000-00007E100000}"/>
    <cellStyle name="Normal 2 4 5 2 6 3 2" xfId="14385" xr:uid="{812E3387-506A-4181-BCB2-511844455931}"/>
    <cellStyle name="Normal 2 4 5 2 6 3 3" xfId="22832" xr:uid="{7F520DD2-E4EE-4AF0-8358-080ECAF64C1C}"/>
    <cellStyle name="Normal 2 4 5 2 6 4" xfId="10167" xr:uid="{1D17A9EB-6AC0-478E-B165-B72DF9EBD635}"/>
    <cellStyle name="Normal 2 4 5 2 6 5" xfId="18615" xr:uid="{BD765B4F-ED11-469C-B6B4-BF882A28A80A}"/>
    <cellStyle name="Normal 2 4 5 2 7" xfId="2042" xr:uid="{00000000-0005-0000-0000-00007F100000}"/>
    <cellStyle name="Normal 2 4 5 2 7 2" xfId="4271" xr:uid="{00000000-0005-0000-0000-000080100000}"/>
    <cellStyle name="Normal 2 4 5 2 7 2 2" xfId="8493" xr:uid="{00000000-0005-0000-0000-000081100000}"/>
    <cellStyle name="Normal 2 4 5 2 7 2 2 2" xfId="16943" xr:uid="{B1318F96-260C-4DAA-88CA-BB568C20C984}"/>
    <cellStyle name="Normal 2 4 5 2 7 2 2 3" xfId="25390" xr:uid="{ECD1C855-5919-463C-BAB6-0881CB2EC3E6}"/>
    <cellStyle name="Normal 2 4 5 2 7 2 3" xfId="12725" xr:uid="{6519A8E1-C0D3-4436-9AD1-3975913D0B1E}"/>
    <cellStyle name="Normal 2 4 5 2 7 2 4" xfId="21173" xr:uid="{A7230AF3-F0C7-4499-9584-0894D4D5218F}"/>
    <cellStyle name="Normal 2 4 5 2 7 3" xfId="6348" xr:uid="{00000000-0005-0000-0000-000082100000}"/>
    <cellStyle name="Normal 2 4 5 2 7 3 2" xfId="14798" xr:uid="{F163E235-EF69-4B88-A518-BC3C92BE7C8C}"/>
    <cellStyle name="Normal 2 4 5 2 7 3 3" xfId="23245" xr:uid="{38FCDE46-61F1-40C1-A50E-DB921624353C}"/>
    <cellStyle name="Normal 2 4 5 2 7 4" xfId="10580" xr:uid="{2EAD6566-CC82-4389-8AAA-1349B5A0838E}"/>
    <cellStyle name="Normal 2 4 5 2 7 5" xfId="19028" xr:uid="{A4E3EF1E-3B22-4B30-B868-5F8B016591A9}"/>
    <cellStyle name="Normal 2 4 5 2 8" xfId="2478" xr:uid="{00000000-0005-0000-0000-000083100000}"/>
    <cellStyle name="Normal 2 4 5 2 8 2" xfId="6761" xr:uid="{00000000-0005-0000-0000-000084100000}"/>
    <cellStyle name="Normal 2 4 5 2 8 2 2" xfId="15211" xr:uid="{3E94AC2C-F47C-427E-9740-5944B247D9EE}"/>
    <cellStyle name="Normal 2 4 5 2 8 2 3" xfId="23658" xr:uid="{C0C3E671-05AE-46C5-8A4D-230B5FD9CBF7}"/>
    <cellStyle name="Normal 2 4 5 2 8 3" xfId="10993" xr:uid="{31E91DA1-AF92-4E66-B034-633A609712A6}"/>
    <cellStyle name="Normal 2 4 5 2 8 4" xfId="19441" xr:uid="{7FEB838A-8970-4A94-B472-882A7FF2A4CC}"/>
    <cellStyle name="Normal 2 4 5 2 9" xfId="4695" xr:uid="{00000000-0005-0000-0000-000085100000}"/>
    <cellStyle name="Normal 2 4 5 2 9 2" xfId="13145" xr:uid="{099BF8C2-C701-48ED-88E2-D6A8FCC44A68}"/>
    <cellStyle name="Normal 2 4 5 2 9 3" xfId="21592" xr:uid="{23371357-D7AF-404D-B6B1-FA2FD0416917}"/>
    <cellStyle name="Normal 2 4 5 3" xfId="308" xr:uid="{00000000-0005-0000-0000-000086100000}"/>
    <cellStyle name="Normal 2 4 5 3 10" xfId="17379" xr:uid="{0CA3A218-2FA7-4199-827F-016093B79A1D}"/>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2 2 2" xfId="15709" xr:uid="{D7940794-321E-414B-A505-2C2A94A4313F}"/>
    <cellStyle name="Normal 2 4 5 3 2 2 2 2 3" xfId="24156" xr:uid="{230A797D-743D-40D6-B975-FD2F48E2A69F}"/>
    <cellStyle name="Normal 2 4 5 3 2 2 2 3" xfId="11491" xr:uid="{DA9F0B6B-5263-4AB7-9A05-5B73734F7157}"/>
    <cellStyle name="Normal 2 4 5 3 2 2 2 4" xfId="19939" xr:uid="{5DD1B6C5-BE12-4B81-A711-1158D84D977E}"/>
    <cellStyle name="Normal 2 4 5 3 2 2 3" xfId="5114" xr:uid="{00000000-0005-0000-0000-00008B100000}"/>
    <cellStyle name="Normal 2 4 5 3 2 2 3 2" xfId="13564" xr:uid="{0C8753C8-F4BC-4479-996B-F47D541B3E87}"/>
    <cellStyle name="Normal 2 4 5 3 2 2 3 3" xfId="22011" xr:uid="{0E708BDC-5CD6-4B47-AD05-12A96153A432}"/>
    <cellStyle name="Normal 2 4 5 3 2 2 4" xfId="9346" xr:uid="{F36093E2-6AEB-4A9D-9D13-BA5E5065E269}"/>
    <cellStyle name="Normal 2 4 5 3 2 2 5" xfId="17794" xr:uid="{ED960982-6A2B-48A2-B385-2186B12A643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2 2 2" xfId="16122" xr:uid="{E5E77866-955E-4112-8C8D-0B889B3FD174}"/>
    <cellStyle name="Normal 2 4 5 3 2 3 2 2 3" xfId="24569" xr:uid="{BE171473-F651-4426-B624-0C8E54749CE2}"/>
    <cellStyle name="Normal 2 4 5 3 2 3 2 3" xfId="11904" xr:uid="{0738D73B-9536-414B-8687-F36A4F0327FF}"/>
    <cellStyle name="Normal 2 4 5 3 2 3 2 4" xfId="20352" xr:uid="{40C646FC-2868-4443-BD92-B97ACF4FA8A9}"/>
    <cellStyle name="Normal 2 4 5 3 2 3 3" xfId="5527" xr:uid="{00000000-0005-0000-0000-00008F100000}"/>
    <cellStyle name="Normal 2 4 5 3 2 3 3 2" xfId="13977" xr:uid="{C0E1FB9E-1A43-48AE-B201-7F984089E896}"/>
    <cellStyle name="Normal 2 4 5 3 2 3 3 3" xfId="22424" xr:uid="{04BB52C4-4418-4C04-8221-C9F7C8C8D68E}"/>
    <cellStyle name="Normal 2 4 5 3 2 3 4" xfId="9759" xr:uid="{4C652053-B5C4-400F-901F-428B0D9F7FBD}"/>
    <cellStyle name="Normal 2 4 5 3 2 3 5" xfId="18207" xr:uid="{6620BFD2-0053-458F-AD41-A2C3D3087D09}"/>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2 2 2" xfId="16535" xr:uid="{F2BC7244-E24E-46FD-9620-63E4991B2641}"/>
    <cellStyle name="Normal 2 4 5 3 2 4 2 2 3" xfId="24982" xr:uid="{E73E9D7E-455A-448B-9549-3E99A035E424}"/>
    <cellStyle name="Normal 2 4 5 3 2 4 2 3" xfId="12317" xr:uid="{EFF698A1-0DA4-429A-A9FB-BB9FFF39DBC2}"/>
    <cellStyle name="Normal 2 4 5 3 2 4 2 4" xfId="20765" xr:uid="{0977019B-71D0-4308-9381-5147F42E2DA0}"/>
    <cellStyle name="Normal 2 4 5 3 2 4 3" xfId="5940" xr:uid="{00000000-0005-0000-0000-000093100000}"/>
    <cellStyle name="Normal 2 4 5 3 2 4 3 2" xfId="14390" xr:uid="{73F60907-FC05-4305-9092-D599114AB523}"/>
    <cellStyle name="Normal 2 4 5 3 2 4 3 3" xfId="22837" xr:uid="{362F5A9F-ED54-412B-8C57-6B4997D6A1EE}"/>
    <cellStyle name="Normal 2 4 5 3 2 4 4" xfId="10172" xr:uid="{46C0FD36-8C2C-4A1E-846A-6BE9A7630CA3}"/>
    <cellStyle name="Normal 2 4 5 3 2 4 5" xfId="18620" xr:uid="{68667F29-B677-471B-926F-6000107606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2 2 2" xfId="16948" xr:uid="{1922603E-FB00-4A49-8D77-5E2DAFA26E3C}"/>
    <cellStyle name="Normal 2 4 5 3 2 5 2 2 3" xfId="25395" xr:uid="{1F5E755B-3A01-48A5-8B0E-F9AE9E88076B}"/>
    <cellStyle name="Normal 2 4 5 3 2 5 2 3" xfId="12730" xr:uid="{6937AB6E-CED9-462F-BBF1-7BCDCA111EF7}"/>
    <cellStyle name="Normal 2 4 5 3 2 5 2 4" xfId="21178" xr:uid="{42365404-B584-4DBE-82B7-99D87044345F}"/>
    <cellStyle name="Normal 2 4 5 3 2 5 3" xfId="6353" xr:uid="{00000000-0005-0000-0000-000097100000}"/>
    <cellStyle name="Normal 2 4 5 3 2 5 3 2" xfId="14803" xr:uid="{12B398EE-ACDA-4F3C-97D3-4F679397232A}"/>
    <cellStyle name="Normal 2 4 5 3 2 5 3 3" xfId="23250" xr:uid="{76AAC771-4C04-49DF-99FF-C7E4533FAD07}"/>
    <cellStyle name="Normal 2 4 5 3 2 5 4" xfId="10585" xr:uid="{DF368ADF-E9D9-457E-977C-E4A2CA54EBB7}"/>
    <cellStyle name="Normal 2 4 5 3 2 5 5" xfId="19033" xr:uid="{15459974-C1F8-4EA3-906E-1BF3CAC98893}"/>
    <cellStyle name="Normal 2 4 5 3 2 6" xfId="2483" xr:uid="{00000000-0005-0000-0000-000098100000}"/>
    <cellStyle name="Normal 2 4 5 3 2 6 2" xfId="6766" xr:uid="{00000000-0005-0000-0000-000099100000}"/>
    <cellStyle name="Normal 2 4 5 3 2 6 2 2" xfId="15216" xr:uid="{98C274B6-D009-40B9-8554-79E54978C8D5}"/>
    <cellStyle name="Normal 2 4 5 3 2 6 2 3" xfId="23663" xr:uid="{5D1A5EA7-CA81-4920-93E7-BB2A6634F160}"/>
    <cellStyle name="Normal 2 4 5 3 2 6 3" xfId="10998" xr:uid="{F0BAE4DC-5242-45EA-8AB0-EFDF78147ED6}"/>
    <cellStyle name="Normal 2 4 5 3 2 6 4" xfId="19446" xr:uid="{A21624A4-F8F3-4A32-BDBD-40EC338B2093}"/>
    <cellStyle name="Normal 2 4 5 3 2 7" xfId="4700" xr:uid="{00000000-0005-0000-0000-00009A100000}"/>
    <cellStyle name="Normal 2 4 5 3 2 7 2" xfId="13150" xr:uid="{5BE5022F-CE85-446B-A79A-CEBA1F18DB33}"/>
    <cellStyle name="Normal 2 4 5 3 2 7 3" xfId="21597" xr:uid="{75408FFC-E3C3-4809-BA2D-65024DA3697E}"/>
    <cellStyle name="Normal 2 4 5 3 2 8" xfId="8932" xr:uid="{C47E710C-30A7-40C2-BAE8-62CAFBB2D564}"/>
    <cellStyle name="Normal 2 4 5 3 2 9" xfId="17380" xr:uid="{236870C5-D173-4C49-8B06-45B6A5ED60B6}"/>
    <cellStyle name="Normal 2 4 5 3 3" xfId="797" xr:uid="{00000000-0005-0000-0000-00009B100000}"/>
    <cellStyle name="Normal 2 4 5 3 3 2" xfId="3036" xr:uid="{00000000-0005-0000-0000-00009C100000}"/>
    <cellStyle name="Normal 2 4 5 3 3 2 2" xfId="7258" xr:uid="{00000000-0005-0000-0000-00009D100000}"/>
    <cellStyle name="Normal 2 4 5 3 3 2 2 2" xfId="15708" xr:uid="{DD36800B-2187-4ECB-B153-66EA6FFC79C6}"/>
    <cellStyle name="Normal 2 4 5 3 3 2 2 3" xfId="24155" xr:uid="{3F833908-E93A-4AA8-94CB-3E65F5624602}"/>
    <cellStyle name="Normal 2 4 5 3 3 2 3" xfId="11490" xr:uid="{7BEA0C83-4B43-4EEA-A13E-64E077CC05DE}"/>
    <cellStyle name="Normal 2 4 5 3 3 2 4" xfId="19938" xr:uid="{59B4321D-73B0-4C1F-ABA0-68B6CC9377D2}"/>
    <cellStyle name="Normal 2 4 5 3 3 3" xfId="5113" xr:uid="{00000000-0005-0000-0000-00009E100000}"/>
    <cellStyle name="Normal 2 4 5 3 3 3 2" xfId="13563" xr:uid="{9A311440-7191-42B0-9CC7-FA1555C40AC9}"/>
    <cellStyle name="Normal 2 4 5 3 3 3 3" xfId="22010" xr:uid="{E2724D4C-EB9D-47E0-B937-D064578D357C}"/>
    <cellStyle name="Normal 2 4 5 3 3 4" xfId="9345" xr:uid="{3AA3BEB3-C213-4175-A680-F836197F4299}"/>
    <cellStyle name="Normal 2 4 5 3 3 5" xfId="17793" xr:uid="{ED6E871A-DA35-44BC-A112-E35B4C6DFF79}"/>
    <cellStyle name="Normal 2 4 5 3 4" xfId="1219" xr:uid="{00000000-0005-0000-0000-00009F100000}"/>
    <cellStyle name="Normal 2 4 5 3 4 2" xfId="3449" xr:uid="{00000000-0005-0000-0000-0000A0100000}"/>
    <cellStyle name="Normal 2 4 5 3 4 2 2" xfId="7671" xr:uid="{00000000-0005-0000-0000-0000A1100000}"/>
    <cellStyle name="Normal 2 4 5 3 4 2 2 2" xfId="16121" xr:uid="{96E9977B-8EBF-4500-9FD8-2C681B00236E}"/>
    <cellStyle name="Normal 2 4 5 3 4 2 2 3" xfId="24568" xr:uid="{C2B9061D-029A-42CB-91BC-A23BB743789D}"/>
    <cellStyle name="Normal 2 4 5 3 4 2 3" xfId="11903" xr:uid="{2C7C3F5B-24C3-4D7D-8E36-93FE6EA7125C}"/>
    <cellStyle name="Normal 2 4 5 3 4 2 4" xfId="20351" xr:uid="{DB17EC98-F9FD-4975-8FEC-84CA876FE7FC}"/>
    <cellStyle name="Normal 2 4 5 3 4 3" xfId="5526" xr:uid="{00000000-0005-0000-0000-0000A2100000}"/>
    <cellStyle name="Normal 2 4 5 3 4 3 2" xfId="13976" xr:uid="{E718B0FE-CB98-43A9-87B4-407094DED5D9}"/>
    <cellStyle name="Normal 2 4 5 3 4 3 3" xfId="22423" xr:uid="{6A963BD7-5B9C-476A-BD96-AC6AE4D2C0B1}"/>
    <cellStyle name="Normal 2 4 5 3 4 4" xfId="9758" xr:uid="{1BF68E09-3AE2-4167-911D-833ED3A3B7A7}"/>
    <cellStyle name="Normal 2 4 5 3 4 5" xfId="18206" xr:uid="{AF3C23BF-7ED4-4287-BE49-C1525E369A04}"/>
    <cellStyle name="Normal 2 4 5 3 5" xfId="1632" xr:uid="{00000000-0005-0000-0000-0000A3100000}"/>
    <cellStyle name="Normal 2 4 5 3 5 2" xfId="3862" xr:uid="{00000000-0005-0000-0000-0000A4100000}"/>
    <cellStyle name="Normal 2 4 5 3 5 2 2" xfId="8084" xr:uid="{00000000-0005-0000-0000-0000A5100000}"/>
    <cellStyle name="Normal 2 4 5 3 5 2 2 2" xfId="16534" xr:uid="{E66B26EA-93CB-4936-923C-CA43B4E31B35}"/>
    <cellStyle name="Normal 2 4 5 3 5 2 2 3" xfId="24981" xr:uid="{B6F6E906-9BDF-44CD-B26A-04BBBC7589EA}"/>
    <cellStyle name="Normal 2 4 5 3 5 2 3" xfId="12316" xr:uid="{17DAFFF8-2C61-496F-B37B-B1C79692698D}"/>
    <cellStyle name="Normal 2 4 5 3 5 2 4" xfId="20764" xr:uid="{F0330488-5169-46C6-B2A7-9165A6BDD4D1}"/>
    <cellStyle name="Normal 2 4 5 3 5 3" xfId="5939" xr:uid="{00000000-0005-0000-0000-0000A6100000}"/>
    <cellStyle name="Normal 2 4 5 3 5 3 2" xfId="14389" xr:uid="{FCE24E05-69E1-4AAC-B157-A27DE412F13E}"/>
    <cellStyle name="Normal 2 4 5 3 5 3 3" xfId="22836" xr:uid="{2091B7B6-B7AB-462F-9D85-4663A1D83B66}"/>
    <cellStyle name="Normal 2 4 5 3 5 4" xfId="10171" xr:uid="{6DAA2572-4737-416A-9FD6-7C3B067612C2}"/>
    <cellStyle name="Normal 2 4 5 3 5 5" xfId="18619" xr:uid="{F4F845BD-E4D9-4E12-A7E6-253F1DAFBE0F}"/>
    <cellStyle name="Normal 2 4 5 3 6" xfId="2046" xr:uid="{00000000-0005-0000-0000-0000A7100000}"/>
    <cellStyle name="Normal 2 4 5 3 6 2" xfId="4275" xr:uid="{00000000-0005-0000-0000-0000A8100000}"/>
    <cellStyle name="Normal 2 4 5 3 6 2 2" xfId="8497" xr:uid="{00000000-0005-0000-0000-0000A9100000}"/>
    <cellStyle name="Normal 2 4 5 3 6 2 2 2" xfId="16947" xr:uid="{F80B0BC4-3A21-41A2-88CB-31F124972781}"/>
    <cellStyle name="Normal 2 4 5 3 6 2 2 3" xfId="25394" xr:uid="{EC043D31-8484-40A1-A388-E03510F81361}"/>
    <cellStyle name="Normal 2 4 5 3 6 2 3" xfId="12729" xr:uid="{FB981076-1939-47B1-AF04-05EDE626AA9B}"/>
    <cellStyle name="Normal 2 4 5 3 6 2 4" xfId="21177" xr:uid="{09C8B095-696E-4540-BE81-A464B85593B7}"/>
    <cellStyle name="Normal 2 4 5 3 6 3" xfId="6352" xr:uid="{00000000-0005-0000-0000-0000AA100000}"/>
    <cellStyle name="Normal 2 4 5 3 6 3 2" xfId="14802" xr:uid="{EC33E624-BAFE-4839-8FD0-E1F24EADB07A}"/>
    <cellStyle name="Normal 2 4 5 3 6 3 3" xfId="23249" xr:uid="{C4DC7749-6D00-43ED-A938-C1B9B5FF6D00}"/>
    <cellStyle name="Normal 2 4 5 3 6 4" xfId="10584" xr:uid="{DE7A1235-9C7E-4E59-8975-11EEBCDF41D9}"/>
    <cellStyle name="Normal 2 4 5 3 6 5" xfId="19032" xr:uid="{158AE863-4B5B-4A31-952D-3113ACB4E49F}"/>
    <cellStyle name="Normal 2 4 5 3 7" xfId="2482" xr:uid="{00000000-0005-0000-0000-0000AB100000}"/>
    <cellStyle name="Normal 2 4 5 3 7 2" xfId="6765" xr:uid="{00000000-0005-0000-0000-0000AC100000}"/>
    <cellStyle name="Normal 2 4 5 3 7 2 2" xfId="15215" xr:uid="{6D6ED281-6977-426A-AEB1-F76BCF880E3B}"/>
    <cellStyle name="Normal 2 4 5 3 7 2 3" xfId="23662" xr:uid="{1A6455E6-666D-411B-849A-81057DDC62E9}"/>
    <cellStyle name="Normal 2 4 5 3 7 3" xfId="10997" xr:uid="{767ED8CD-42AA-4268-811D-53B4A9F4D282}"/>
    <cellStyle name="Normal 2 4 5 3 7 4" xfId="19445" xr:uid="{0C832EA8-2AE1-4503-B090-9E4DC7A74717}"/>
    <cellStyle name="Normal 2 4 5 3 8" xfId="4699" xr:uid="{00000000-0005-0000-0000-0000AD100000}"/>
    <cellStyle name="Normal 2 4 5 3 8 2" xfId="13149" xr:uid="{B9653E6F-6A9E-422F-9886-A79493FF69C4}"/>
    <cellStyle name="Normal 2 4 5 3 8 3" xfId="21596" xr:uid="{2DD6D5A0-D65A-4130-9F11-8CF2920743E0}"/>
    <cellStyle name="Normal 2 4 5 3 9" xfId="8931" xr:uid="{CD5E4981-AF49-4096-9A16-53A25C202145}"/>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2 2 2" xfId="15710" xr:uid="{91B5F62C-B4FA-4A78-9047-49BF55F60898}"/>
    <cellStyle name="Normal 2 4 5 4 2 2 2 3" xfId="24157" xr:uid="{69F0D952-6A1D-415E-8AED-013E39D02A51}"/>
    <cellStyle name="Normal 2 4 5 4 2 2 3" xfId="11492" xr:uid="{BC66C50B-CB94-4F80-9FE3-37419A235AF6}"/>
    <cellStyle name="Normal 2 4 5 4 2 2 4" xfId="19940" xr:uid="{A36DD0B7-0DE2-4396-A52C-B573C108E11D}"/>
    <cellStyle name="Normal 2 4 5 4 2 3" xfId="5115" xr:uid="{00000000-0005-0000-0000-0000B2100000}"/>
    <cellStyle name="Normal 2 4 5 4 2 3 2" xfId="13565" xr:uid="{CAEE1F76-8E98-4C55-99B4-F814CBB3B09E}"/>
    <cellStyle name="Normal 2 4 5 4 2 3 3" xfId="22012" xr:uid="{ECC4AA65-3C93-4DA4-8EF1-97805B1487A2}"/>
    <cellStyle name="Normal 2 4 5 4 2 4" xfId="9347" xr:uid="{7F789E16-6814-410F-BAA2-42B9D70AC393}"/>
    <cellStyle name="Normal 2 4 5 4 2 5" xfId="17795" xr:uid="{B91CFDC9-F3B7-44A2-A864-592738228455}"/>
    <cellStyle name="Normal 2 4 5 4 3" xfId="1221" xr:uid="{00000000-0005-0000-0000-0000B3100000}"/>
    <cellStyle name="Normal 2 4 5 4 3 2" xfId="3451" xr:uid="{00000000-0005-0000-0000-0000B4100000}"/>
    <cellStyle name="Normal 2 4 5 4 3 2 2" xfId="7673" xr:uid="{00000000-0005-0000-0000-0000B5100000}"/>
    <cellStyle name="Normal 2 4 5 4 3 2 2 2" xfId="16123" xr:uid="{E6DF65AD-A4F6-4ED1-A256-77E81814CBE4}"/>
    <cellStyle name="Normal 2 4 5 4 3 2 2 3" xfId="24570" xr:uid="{E24D2C2C-5ECD-4964-9BEE-6C7B8CA08176}"/>
    <cellStyle name="Normal 2 4 5 4 3 2 3" xfId="11905" xr:uid="{E215C108-8228-42E4-BB69-C5EC8FC4BFF7}"/>
    <cellStyle name="Normal 2 4 5 4 3 2 4" xfId="20353" xr:uid="{3E7C895B-1E70-4DD6-B4F0-FD65975122C8}"/>
    <cellStyle name="Normal 2 4 5 4 3 3" xfId="5528" xr:uid="{00000000-0005-0000-0000-0000B6100000}"/>
    <cellStyle name="Normal 2 4 5 4 3 3 2" xfId="13978" xr:uid="{2BF2E160-84AA-40EF-B7A1-ADE61EE87C19}"/>
    <cellStyle name="Normal 2 4 5 4 3 3 3" xfId="22425" xr:uid="{95C86271-5936-4239-926D-8B3C944D90EF}"/>
    <cellStyle name="Normal 2 4 5 4 3 4" xfId="9760" xr:uid="{902555C0-8853-4B32-BDC8-90B0694A1600}"/>
    <cellStyle name="Normal 2 4 5 4 3 5" xfId="18208" xr:uid="{637259D9-7AD9-4A0D-9E2C-CBF09ABD8BB0}"/>
    <cellStyle name="Normal 2 4 5 4 4" xfId="1634" xr:uid="{00000000-0005-0000-0000-0000B7100000}"/>
    <cellStyle name="Normal 2 4 5 4 4 2" xfId="3864" xr:uid="{00000000-0005-0000-0000-0000B8100000}"/>
    <cellStyle name="Normal 2 4 5 4 4 2 2" xfId="8086" xr:uid="{00000000-0005-0000-0000-0000B9100000}"/>
    <cellStyle name="Normal 2 4 5 4 4 2 2 2" xfId="16536" xr:uid="{040DDDE5-AD3D-4100-97D1-BEC1E986DDEE}"/>
    <cellStyle name="Normal 2 4 5 4 4 2 2 3" xfId="24983" xr:uid="{9A77CAFE-6949-4260-B1A3-2A04F21F2EE2}"/>
    <cellStyle name="Normal 2 4 5 4 4 2 3" xfId="12318" xr:uid="{5D2FC717-1DA5-4E7E-9D63-15F2F3C0C6F1}"/>
    <cellStyle name="Normal 2 4 5 4 4 2 4" xfId="20766" xr:uid="{2FFB33CB-2A85-4CCC-BEE9-4EBEAA1D712F}"/>
    <cellStyle name="Normal 2 4 5 4 4 3" xfId="5941" xr:uid="{00000000-0005-0000-0000-0000BA100000}"/>
    <cellStyle name="Normal 2 4 5 4 4 3 2" xfId="14391" xr:uid="{B9EC8D0C-4366-4BD7-8C7D-914471960300}"/>
    <cellStyle name="Normal 2 4 5 4 4 3 3" xfId="22838" xr:uid="{BC878D6E-9234-4C36-9AA6-C85F93B6E70D}"/>
    <cellStyle name="Normal 2 4 5 4 4 4" xfId="10173" xr:uid="{10C33D49-C909-4BBA-8896-6EE7F28C3F95}"/>
    <cellStyle name="Normal 2 4 5 4 4 5" xfId="18621" xr:uid="{E4EC3D35-C591-4D81-965E-4E5B774AB555}"/>
    <cellStyle name="Normal 2 4 5 4 5" xfId="2048" xr:uid="{00000000-0005-0000-0000-0000BB100000}"/>
    <cellStyle name="Normal 2 4 5 4 5 2" xfId="4277" xr:uid="{00000000-0005-0000-0000-0000BC100000}"/>
    <cellStyle name="Normal 2 4 5 4 5 2 2" xfId="8499" xr:uid="{00000000-0005-0000-0000-0000BD100000}"/>
    <cellStyle name="Normal 2 4 5 4 5 2 2 2" xfId="16949" xr:uid="{115A9B17-3700-4283-9004-053694FEC6EB}"/>
    <cellStyle name="Normal 2 4 5 4 5 2 2 3" xfId="25396" xr:uid="{8C710E7F-7B4A-408F-8CE3-86B7681C49F2}"/>
    <cellStyle name="Normal 2 4 5 4 5 2 3" xfId="12731" xr:uid="{DAF57139-2605-4E12-9885-E7B209578C10}"/>
    <cellStyle name="Normal 2 4 5 4 5 2 4" xfId="21179" xr:uid="{183E90A6-69CA-44DC-809F-C44DDFC4A7A7}"/>
    <cellStyle name="Normal 2 4 5 4 5 3" xfId="6354" xr:uid="{00000000-0005-0000-0000-0000BE100000}"/>
    <cellStyle name="Normal 2 4 5 4 5 3 2" xfId="14804" xr:uid="{0C82A9AC-2759-4FA6-8521-DA6471F38FBF}"/>
    <cellStyle name="Normal 2 4 5 4 5 3 3" xfId="23251" xr:uid="{559D9929-B884-424C-8DBF-AA9A093C15A3}"/>
    <cellStyle name="Normal 2 4 5 4 5 4" xfId="10586" xr:uid="{C6347230-4E01-4809-92AB-911B6FF839BC}"/>
    <cellStyle name="Normal 2 4 5 4 5 5" xfId="19034" xr:uid="{E13FF749-6053-4341-A587-6D1E7B747765}"/>
    <cellStyle name="Normal 2 4 5 4 6" xfId="2484" xr:uid="{00000000-0005-0000-0000-0000BF100000}"/>
    <cellStyle name="Normal 2 4 5 4 6 2" xfId="6767" xr:uid="{00000000-0005-0000-0000-0000C0100000}"/>
    <cellStyle name="Normal 2 4 5 4 6 2 2" xfId="15217" xr:uid="{09BCF764-AE7A-40A3-A2DD-4C03B48AAB08}"/>
    <cellStyle name="Normal 2 4 5 4 6 2 3" xfId="23664" xr:uid="{87B482BF-47A9-4794-A76B-3D6A5A84CEB5}"/>
    <cellStyle name="Normal 2 4 5 4 6 3" xfId="10999" xr:uid="{CB902323-51B1-4DE9-92FD-D37F6E01D009}"/>
    <cellStyle name="Normal 2 4 5 4 6 4" xfId="19447" xr:uid="{35CC4249-974D-4FAE-8CC1-E0541D9FD141}"/>
    <cellStyle name="Normal 2 4 5 4 7" xfId="4701" xr:uid="{00000000-0005-0000-0000-0000C1100000}"/>
    <cellStyle name="Normal 2 4 5 4 7 2" xfId="13151" xr:uid="{E2E38055-324D-425F-BE9F-997117572E78}"/>
    <cellStyle name="Normal 2 4 5 4 7 3" xfId="21598" xr:uid="{553C951A-1830-4612-A932-ACE038A4A856}"/>
    <cellStyle name="Normal 2 4 5 4 8" xfId="8933" xr:uid="{3C771838-C081-4FF3-89E0-67852C3C689D}"/>
    <cellStyle name="Normal 2 4 5 4 9" xfId="17381" xr:uid="{F4B99865-DE3E-4993-B98B-B7AE00AFBE03}"/>
    <cellStyle name="Normal 2 4 5 5" xfId="792" xr:uid="{00000000-0005-0000-0000-0000C2100000}"/>
    <cellStyle name="Normal 2 4 5 5 2" xfId="3031" xr:uid="{00000000-0005-0000-0000-0000C3100000}"/>
    <cellStyle name="Normal 2 4 5 5 2 2" xfId="7253" xr:uid="{00000000-0005-0000-0000-0000C4100000}"/>
    <cellStyle name="Normal 2 4 5 5 2 2 2" xfId="15703" xr:uid="{39897254-73C8-49D9-ABFA-986873F4A698}"/>
    <cellStyle name="Normal 2 4 5 5 2 2 3" xfId="24150" xr:uid="{3B1F0B3B-945B-468A-92F5-40D72009FEAC}"/>
    <cellStyle name="Normal 2 4 5 5 2 3" xfId="11485" xr:uid="{B6011E90-DADB-4E4D-ADD5-2FD17D5D8E43}"/>
    <cellStyle name="Normal 2 4 5 5 2 4" xfId="19933" xr:uid="{4A632F71-68E2-4926-A7FC-ED5858DB7971}"/>
    <cellStyle name="Normal 2 4 5 5 3" xfId="5108" xr:uid="{00000000-0005-0000-0000-0000C5100000}"/>
    <cellStyle name="Normal 2 4 5 5 3 2" xfId="13558" xr:uid="{0768FD1C-6640-4AD2-81C6-F11AB7CECC02}"/>
    <cellStyle name="Normal 2 4 5 5 3 3" xfId="22005" xr:uid="{5EA2B692-5EBB-49F8-8492-CFC7782E0CCA}"/>
    <cellStyle name="Normal 2 4 5 5 4" xfId="9340" xr:uid="{EA4992CD-F440-499E-B11A-F1A51BBEC24F}"/>
    <cellStyle name="Normal 2 4 5 5 5" xfId="17788" xr:uid="{11458F6D-F8C5-45BC-80F9-337518EBE89E}"/>
    <cellStyle name="Normal 2 4 5 6" xfId="1214" xr:uid="{00000000-0005-0000-0000-0000C6100000}"/>
    <cellStyle name="Normal 2 4 5 6 2" xfId="3444" xr:uid="{00000000-0005-0000-0000-0000C7100000}"/>
    <cellStyle name="Normal 2 4 5 6 2 2" xfId="7666" xr:uid="{00000000-0005-0000-0000-0000C8100000}"/>
    <cellStyle name="Normal 2 4 5 6 2 2 2" xfId="16116" xr:uid="{B889C070-47EA-493D-95B8-98BDADD4F758}"/>
    <cellStyle name="Normal 2 4 5 6 2 2 3" xfId="24563" xr:uid="{B0983101-AA54-46CE-A797-3B96DA7F6ABD}"/>
    <cellStyle name="Normal 2 4 5 6 2 3" xfId="11898" xr:uid="{97CCCCE9-71E7-4F5F-80B3-FB16616D7941}"/>
    <cellStyle name="Normal 2 4 5 6 2 4" xfId="20346" xr:uid="{1261242D-0433-4F67-9342-CA25CF217BF9}"/>
    <cellStyle name="Normal 2 4 5 6 3" xfId="5521" xr:uid="{00000000-0005-0000-0000-0000C9100000}"/>
    <cellStyle name="Normal 2 4 5 6 3 2" xfId="13971" xr:uid="{D8571139-9638-475A-B34D-0D5DDFB5F62B}"/>
    <cellStyle name="Normal 2 4 5 6 3 3" xfId="22418" xr:uid="{E7207E9E-C14C-4757-920C-65F9EA9A3AE5}"/>
    <cellStyle name="Normal 2 4 5 6 4" xfId="9753" xr:uid="{13A9F5E3-C30E-415F-891D-D26C5DDDA76B}"/>
    <cellStyle name="Normal 2 4 5 6 5" xfId="18201" xr:uid="{7DED074A-4240-4CFB-BAF4-6ADA266BFCF5}"/>
    <cellStyle name="Normal 2 4 5 7" xfId="1627" xr:uid="{00000000-0005-0000-0000-0000CA100000}"/>
    <cellStyle name="Normal 2 4 5 7 2" xfId="3857" xr:uid="{00000000-0005-0000-0000-0000CB100000}"/>
    <cellStyle name="Normal 2 4 5 7 2 2" xfId="8079" xr:uid="{00000000-0005-0000-0000-0000CC100000}"/>
    <cellStyle name="Normal 2 4 5 7 2 2 2" xfId="16529" xr:uid="{3959F425-3474-4A2E-913D-E676CB03A306}"/>
    <cellStyle name="Normal 2 4 5 7 2 2 3" xfId="24976" xr:uid="{8B9ED7F3-6EF8-4E2A-9554-30052D9E99A8}"/>
    <cellStyle name="Normal 2 4 5 7 2 3" xfId="12311" xr:uid="{0D67305A-03CE-4712-AFEE-DD770F95FD74}"/>
    <cellStyle name="Normal 2 4 5 7 2 4" xfId="20759" xr:uid="{3FEECF03-9A06-4E0D-812E-FA2A5B5FB589}"/>
    <cellStyle name="Normal 2 4 5 7 3" xfId="5934" xr:uid="{00000000-0005-0000-0000-0000CD100000}"/>
    <cellStyle name="Normal 2 4 5 7 3 2" xfId="14384" xr:uid="{85A72AB5-4228-420E-A6E1-3FB18FB33AA2}"/>
    <cellStyle name="Normal 2 4 5 7 3 3" xfId="22831" xr:uid="{4A0F4D7D-84F4-4A00-932B-803B8697657A}"/>
    <cellStyle name="Normal 2 4 5 7 4" xfId="10166" xr:uid="{BED70BA1-05EF-4A9D-A225-7F1E5E4760BD}"/>
    <cellStyle name="Normal 2 4 5 7 5" xfId="18614" xr:uid="{085F88F2-9AC1-4961-97A6-C5C3D5189C5F}"/>
    <cellStyle name="Normal 2 4 5 8" xfId="2041" xr:uid="{00000000-0005-0000-0000-0000CE100000}"/>
    <cellStyle name="Normal 2 4 5 8 2" xfId="4270" xr:uid="{00000000-0005-0000-0000-0000CF100000}"/>
    <cellStyle name="Normal 2 4 5 8 2 2" xfId="8492" xr:uid="{00000000-0005-0000-0000-0000D0100000}"/>
    <cellStyle name="Normal 2 4 5 8 2 2 2" xfId="16942" xr:uid="{F60F5233-F493-4965-BAB2-B0019FA7AE25}"/>
    <cellStyle name="Normal 2 4 5 8 2 2 3" xfId="25389" xr:uid="{F928C355-B9A3-4A4C-945C-02D9C6B90B86}"/>
    <cellStyle name="Normal 2 4 5 8 2 3" xfId="12724" xr:uid="{92663426-A64C-4659-B6C3-1DC1214DEBC9}"/>
    <cellStyle name="Normal 2 4 5 8 2 4" xfId="21172" xr:uid="{0DC8E10B-455A-4A70-BA9D-C13736716921}"/>
    <cellStyle name="Normal 2 4 5 8 3" xfId="6347" xr:uid="{00000000-0005-0000-0000-0000D1100000}"/>
    <cellStyle name="Normal 2 4 5 8 3 2" xfId="14797" xr:uid="{EDC75E55-AA97-4190-A1CE-20498C98B652}"/>
    <cellStyle name="Normal 2 4 5 8 3 3" xfId="23244" xr:uid="{EBA856EB-FF72-493B-96E2-72285C4F81F7}"/>
    <cellStyle name="Normal 2 4 5 8 4" xfId="10579" xr:uid="{1F789DC1-C7CF-459A-9241-1373251A86EF}"/>
    <cellStyle name="Normal 2 4 5 8 5" xfId="19027" xr:uid="{9B1D97F7-0293-4409-B170-D9E1CD43DA04}"/>
    <cellStyle name="Normal 2 4 5 9" xfId="2477" xr:uid="{00000000-0005-0000-0000-0000D2100000}"/>
    <cellStyle name="Normal 2 4 5 9 2" xfId="6760" xr:uid="{00000000-0005-0000-0000-0000D3100000}"/>
    <cellStyle name="Normal 2 4 5 9 2 2" xfId="15210" xr:uid="{DA8B3014-C94F-41D7-9306-41E4D925435B}"/>
    <cellStyle name="Normal 2 4 5 9 2 3" xfId="23657" xr:uid="{C018A7C3-4A56-43F9-88E6-5A9B10B604B3}"/>
    <cellStyle name="Normal 2 4 5 9 3" xfId="10992" xr:uid="{0F2EE825-4F30-43A2-8FAE-863057642233}"/>
    <cellStyle name="Normal 2 4 5 9 4" xfId="19440" xr:uid="{05121D96-12FB-4A28-A893-742201DCCE20}"/>
    <cellStyle name="Normal 2 4 6" xfId="311" xr:uid="{00000000-0005-0000-0000-0000D4100000}"/>
    <cellStyle name="Normal 2 4 7" xfId="312" xr:uid="{00000000-0005-0000-0000-0000D5100000}"/>
    <cellStyle name="Normal 2 4 7 10" xfId="17382" xr:uid="{94DCB74F-093F-4A1C-8C1A-20F007B7DC5B}"/>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2 2 2" xfId="15712" xr:uid="{92653422-DFDF-4164-A004-7F9E4369F799}"/>
    <cellStyle name="Normal 2 4 7 2 2 2 2 3" xfId="24159" xr:uid="{4CB14BE3-8F43-40B3-94FF-71907EBBC4EB}"/>
    <cellStyle name="Normal 2 4 7 2 2 2 3" xfId="11494" xr:uid="{A974DE6D-17A5-4C1A-A44F-B72E686A6BCE}"/>
    <cellStyle name="Normal 2 4 7 2 2 2 4" xfId="19942" xr:uid="{2470EF8A-4C5C-4812-8A16-66478296DA4A}"/>
    <cellStyle name="Normal 2 4 7 2 2 3" xfId="5117" xr:uid="{00000000-0005-0000-0000-0000DA100000}"/>
    <cellStyle name="Normal 2 4 7 2 2 3 2" xfId="13567" xr:uid="{B2BA1ED6-699D-47C3-BAE9-A9F484DE4C99}"/>
    <cellStyle name="Normal 2 4 7 2 2 3 3" xfId="22014" xr:uid="{8AC5E8B2-22B8-4890-B929-9B6A5EFFD0C9}"/>
    <cellStyle name="Normal 2 4 7 2 2 4" xfId="9349" xr:uid="{B6228E17-404D-4442-9EDB-A6D2997A6ABD}"/>
    <cellStyle name="Normal 2 4 7 2 2 5" xfId="17797" xr:uid="{ED7C8A5B-89A0-407D-B2D4-3C8BEB2A9666}"/>
    <cellStyle name="Normal 2 4 7 2 3" xfId="1223" xr:uid="{00000000-0005-0000-0000-0000DB100000}"/>
    <cellStyle name="Normal 2 4 7 2 3 2" xfId="3453" xr:uid="{00000000-0005-0000-0000-0000DC100000}"/>
    <cellStyle name="Normal 2 4 7 2 3 2 2" xfId="7675" xr:uid="{00000000-0005-0000-0000-0000DD100000}"/>
    <cellStyle name="Normal 2 4 7 2 3 2 2 2" xfId="16125" xr:uid="{7975F485-F8D5-4AE7-9A7B-1F7F665C3C31}"/>
    <cellStyle name="Normal 2 4 7 2 3 2 2 3" xfId="24572" xr:uid="{A6479402-DCEA-49A6-B317-ACDBC518D6E5}"/>
    <cellStyle name="Normal 2 4 7 2 3 2 3" xfId="11907" xr:uid="{86810A86-8B86-4CAE-AB23-AD47CC2A529D}"/>
    <cellStyle name="Normal 2 4 7 2 3 2 4" xfId="20355" xr:uid="{5B18563B-1ECA-4FB8-932D-78166A857DE8}"/>
    <cellStyle name="Normal 2 4 7 2 3 3" xfId="5530" xr:uid="{00000000-0005-0000-0000-0000DE100000}"/>
    <cellStyle name="Normal 2 4 7 2 3 3 2" xfId="13980" xr:uid="{D5DF6FBB-F2F3-4FD2-A7F1-4FC2B358FF80}"/>
    <cellStyle name="Normal 2 4 7 2 3 3 3" xfId="22427" xr:uid="{66A3D0A0-0AD6-4233-B2EB-EADAA112128D}"/>
    <cellStyle name="Normal 2 4 7 2 3 4" xfId="9762" xr:uid="{80915996-B446-4BCA-B332-959B3BE04C76}"/>
    <cellStyle name="Normal 2 4 7 2 3 5" xfId="18210" xr:uid="{7A40CE63-EFBA-4A2B-83CC-62B11671900A}"/>
    <cellStyle name="Normal 2 4 7 2 4" xfId="1636" xr:uid="{00000000-0005-0000-0000-0000DF100000}"/>
    <cellStyle name="Normal 2 4 7 2 4 2" xfId="3866" xr:uid="{00000000-0005-0000-0000-0000E0100000}"/>
    <cellStyle name="Normal 2 4 7 2 4 2 2" xfId="8088" xr:uid="{00000000-0005-0000-0000-0000E1100000}"/>
    <cellStyle name="Normal 2 4 7 2 4 2 2 2" xfId="16538" xr:uid="{FE95F943-15CF-4E6E-B617-AB27BAA6E0FD}"/>
    <cellStyle name="Normal 2 4 7 2 4 2 2 3" xfId="24985" xr:uid="{B7BFAC07-A74A-474D-ABB0-C2678AAF2D2F}"/>
    <cellStyle name="Normal 2 4 7 2 4 2 3" xfId="12320" xr:uid="{9BE25371-DF4E-408A-A856-38D008B1A025}"/>
    <cellStyle name="Normal 2 4 7 2 4 2 4" xfId="20768" xr:uid="{09E22C23-A70C-41F0-A9B5-72279E504949}"/>
    <cellStyle name="Normal 2 4 7 2 4 3" xfId="5943" xr:uid="{00000000-0005-0000-0000-0000E2100000}"/>
    <cellStyle name="Normal 2 4 7 2 4 3 2" xfId="14393" xr:uid="{3549E1A9-749B-490B-83C7-9BD601920962}"/>
    <cellStyle name="Normal 2 4 7 2 4 3 3" xfId="22840" xr:uid="{D54F297F-2399-426D-9406-F0BC22D8E699}"/>
    <cellStyle name="Normal 2 4 7 2 4 4" xfId="10175" xr:uid="{623B23B2-5BF3-4D7E-9B1B-5B7F4D74FBC1}"/>
    <cellStyle name="Normal 2 4 7 2 4 5" xfId="18623" xr:uid="{EF92DFDE-53DF-49C8-A8CC-93E22828F9A6}"/>
    <cellStyle name="Normal 2 4 7 2 5" xfId="2050" xr:uid="{00000000-0005-0000-0000-0000E3100000}"/>
    <cellStyle name="Normal 2 4 7 2 5 2" xfId="4279" xr:uid="{00000000-0005-0000-0000-0000E4100000}"/>
    <cellStyle name="Normal 2 4 7 2 5 2 2" xfId="8501" xr:uid="{00000000-0005-0000-0000-0000E5100000}"/>
    <cellStyle name="Normal 2 4 7 2 5 2 2 2" xfId="16951" xr:uid="{6F253324-53F8-4968-96EC-C24FABA32C3A}"/>
    <cellStyle name="Normal 2 4 7 2 5 2 2 3" xfId="25398" xr:uid="{21C72BD9-1130-4406-945D-B12863C983F4}"/>
    <cellStyle name="Normal 2 4 7 2 5 2 3" xfId="12733" xr:uid="{9E31A46C-08EA-4E6F-9A75-D38F89D518A0}"/>
    <cellStyle name="Normal 2 4 7 2 5 2 4" xfId="21181" xr:uid="{5837E9F3-13B8-4EDC-B520-06939B47EB17}"/>
    <cellStyle name="Normal 2 4 7 2 5 3" xfId="6356" xr:uid="{00000000-0005-0000-0000-0000E6100000}"/>
    <cellStyle name="Normal 2 4 7 2 5 3 2" xfId="14806" xr:uid="{1BEAD14F-A210-4640-8EE1-DEF9EE27DF04}"/>
    <cellStyle name="Normal 2 4 7 2 5 3 3" xfId="23253" xr:uid="{B3715CF0-40F9-4A5C-BB85-284515BCEE0F}"/>
    <cellStyle name="Normal 2 4 7 2 5 4" xfId="10588" xr:uid="{C65C84E2-8AAF-4D04-AB68-A7186715A83E}"/>
    <cellStyle name="Normal 2 4 7 2 5 5" xfId="19036" xr:uid="{CA5B68BC-9DEB-4DAE-9033-6E87EDED1C9E}"/>
    <cellStyle name="Normal 2 4 7 2 6" xfId="2486" xr:uid="{00000000-0005-0000-0000-0000E7100000}"/>
    <cellStyle name="Normal 2 4 7 2 6 2" xfId="6769" xr:uid="{00000000-0005-0000-0000-0000E8100000}"/>
    <cellStyle name="Normal 2 4 7 2 6 2 2" xfId="15219" xr:uid="{3853B87E-01D8-4AC0-9068-4B9356356DE9}"/>
    <cellStyle name="Normal 2 4 7 2 6 2 3" xfId="23666" xr:uid="{94452D4C-ED0B-4DD3-A71D-19062A3E2787}"/>
    <cellStyle name="Normal 2 4 7 2 6 3" xfId="11001" xr:uid="{D7E75AFB-4B4D-438C-A216-A079E4B2D6C4}"/>
    <cellStyle name="Normal 2 4 7 2 6 4" xfId="19449" xr:uid="{390358E3-888A-4C91-B2AC-2202C8E7C83D}"/>
    <cellStyle name="Normal 2 4 7 2 7" xfId="4703" xr:uid="{00000000-0005-0000-0000-0000E9100000}"/>
    <cellStyle name="Normal 2 4 7 2 7 2" xfId="13153" xr:uid="{1582C90B-CE43-46F4-9CC7-3F9F1C8353B8}"/>
    <cellStyle name="Normal 2 4 7 2 7 3" xfId="21600" xr:uid="{7AF94E23-FCA0-43D4-B926-64EDCE260C2C}"/>
    <cellStyle name="Normal 2 4 7 2 8" xfId="8935" xr:uid="{E7EB73D2-E282-4E24-B57C-97E3243C7D1B}"/>
    <cellStyle name="Normal 2 4 7 2 9" xfId="17383" xr:uid="{D016080F-046A-4F6F-9618-568B1EDF57DA}"/>
    <cellStyle name="Normal 2 4 7 3" xfId="800" xr:uid="{00000000-0005-0000-0000-0000EA100000}"/>
    <cellStyle name="Normal 2 4 7 3 2" xfId="3039" xr:uid="{00000000-0005-0000-0000-0000EB100000}"/>
    <cellStyle name="Normal 2 4 7 3 2 2" xfId="7261" xr:uid="{00000000-0005-0000-0000-0000EC100000}"/>
    <cellStyle name="Normal 2 4 7 3 2 2 2" xfId="15711" xr:uid="{1B54CEC7-4F35-4E02-BE41-42696F3833C7}"/>
    <cellStyle name="Normal 2 4 7 3 2 2 3" xfId="24158" xr:uid="{ECCE1BFE-FE7C-4E16-A3C5-5FE0EE944A5F}"/>
    <cellStyle name="Normal 2 4 7 3 2 3" xfId="11493" xr:uid="{39433847-1F2D-4A5A-BDE5-B69F04D0BE55}"/>
    <cellStyle name="Normal 2 4 7 3 2 4" xfId="19941" xr:uid="{36549ED0-1BCF-4F6E-859A-9671851BD306}"/>
    <cellStyle name="Normal 2 4 7 3 3" xfId="5116" xr:uid="{00000000-0005-0000-0000-0000ED100000}"/>
    <cellStyle name="Normal 2 4 7 3 3 2" xfId="13566" xr:uid="{338011A4-2FCE-4381-A247-C1372954265B}"/>
    <cellStyle name="Normal 2 4 7 3 3 3" xfId="22013" xr:uid="{CAB5A7B2-FAC5-41BF-9A8E-7D5FC23AFC79}"/>
    <cellStyle name="Normal 2 4 7 3 4" xfId="9348" xr:uid="{8491EDBA-17BE-408C-A455-29A6FE373B57}"/>
    <cellStyle name="Normal 2 4 7 3 5" xfId="17796" xr:uid="{E9D0A88B-4937-424D-960A-829CF8394E6B}"/>
    <cellStyle name="Normal 2 4 7 4" xfId="1222" xr:uid="{00000000-0005-0000-0000-0000EE100000}"/>
    <cellStyle name="Normal 2 4 7 4 2" xfId="3452" xr:uid="{00000000-0005-0000-0000-0000EF100000}"/>
    <cellStyle name="Normal 2 4 7 4 2 2" xfId="7674" xr:uid="{00000000-0005-0000-0000-0000F0100000}"/>
    <cellStyle name="Normal 2 4 7 4 2 2 2" xfId="16124" xr:uid="{934FCE07-432B-49CB-BE93-826E5B107900}"/>
    <cellStyle name="Normal 2 4 7 4 2 2 3" xfId="24571" xr:uid="{F95C7A3F-2063-40FF-B1FF-89B71D0B12AD}"/>
    <cellStyle name="Normal 2 4 7 4 2 3" xfId="11906" xr:uid="{DF498C76-4239-40A2-8316-98411770C684}"/>
    <cellStyle name="Normal 2 4 7 4 2 4" xfId="20354" xr:uid="{0E73630A-3535-4730-9C2D-30D6E8BD137E}"/>
    <cellStyle name="Normal 2 4 7 4 3" xfId="5529" xr:uid="{00000000-0005-0000-0000-0000F1100000}"/>
    <cellStyle name="Normal 2 4 7 4 3 2" xfId="13979" xr:uid="{B16B1F65-0761-46E4-AEF2-BFEEEE8C10D3}"/>
    <cellStyle name="Normal 2 4 7 4 3 3" xfId="22426" xr:uid="{D81A9F7E-09FB-4CC7-A89B-283F983A9E4A}"/>
    <cellStyle name="Normal 2 4 7 4 4" xfId="9761" xr:uid="{CA61FA98-A6D8-4A75-A321-85D45584349C}"/>
    <cellStyle name="Normal 2 4 7 4 5" xfId="18209" xr:uid="{790A46B2-A85E-4541-9D67-053F19A6A322}"/>
    <cellStyle name="Normal 2 4 7 5" xfId="1635" xr:uid="{00000000-0005-0000-0000-0000F2100000}"/>
    <cellStyle name="Normal 2 4 7 5 2" xfId="3865" xr:uid="{00000000-0005-0000-0000-0000F3100000}"/>
    <cellStyle name="Normal 2 4 7 5 2 2" xfId="8087" xr:uid="{00000000-0005-0000-0000-0000F4100000}"/>
    <cellStyle name="Normal 2 4 7 5 2 2 2" xfId="16537" xr:uid="{F26EB78D-FA8E-4C71-BB99-CCDDB82643C0}"/>
    <cellStyle name="Normal 2 4 7 5 2 2 3" xfId="24984" xr:uid="{A4130A8A-7FA6-472A-87F5-36DE6A4D3F23}"/>
    <cellStyle name="Normal 2 4 7 5 2 3" xfId="12319" xr:uid="{65F85E5E-81DE-4A64-9686-3DAC5D676628}"/>
    <cellStyle name="Normal 2 4 7 5 2 4" xfId="20767" xr:uid="{BE9A8E53-352F-462A-A3EB-E99E3CE9031E}"/>
    <cellStyle name="Normal 2 4 7 5 3" xfId="5942" xr:uid="{00000000-0005-0000-0000-0000F5100000}"/>
    <cellStyle name="Normal 2 4 7 5 3 2" xfId="14392" xr:uid="{E1A3DC16-D7BB-495C-A279-738BDFF2DD21}"/>
    <cellStyle name="Normal 2 4 7 5 3 3" xfId="22839" xr:uid="{BCE75B1B-0066-4482-8561-A86C54E0DE36}"/>
    <cellStyle name="Normal 2 4 7 5 4" xfId="10174" xr:uid="{05C68DC7-7AE6-4E09-8B4D-8081089F3375}"/>
    <cellStyle name="Normal 2 4 7 5 5" xfId="18622" xr:uid="{758C1E95-314B-4189-8C3D-83DAD95E7791}"/>
    <cellStyle name="Normal 2 4 7 6" xfId="2049" xr:uid="{00000000-0005-0000-0000-0000F6100000}"/>
    <cellStyle name="Normal 2 4 7 6 2" xfId="4278" xr:uid="{00000000-0005-0000-0000-0000F7100000}"/>
    <cellStyle name="Normal 2 4 7 6 2 2" xfId="8500" xr:uid="{00000000-0005-0000-0000-0000F8100000}"/>
    <cellStyle name="Normal 2 4 7 6 2 2 2" xfId="16950" xr:uid="{58A92A14-DE28-43FE-BC50-4B9D74CF00E4}"/>
    <cellStyle name="Normal 2 4 7 6 2 2 3" xfId="25397" xr:uid="{80FF4A91-1D01-4907-9D30-765BC5D061F6}"/>
    <cellStyle name="Normal 2 4 7 6 2 3" xfId="12732" xr:uid="{CCAA7C2E-4FA5-4466-9E01-02072354F10D}"/>
    <cellStyle name="Normal 2 4 7 6 2 4" xfId="21180" xr:uid="{74FC6E26-62E3-4346-9BD1-3D7C7DD1966A}"/>
    <cellStyle name="Normal 2 4 7 6 3" xfId="6355" xr:uid="{00000000-0005-0000-0000-0000F9100000}"/>
    <cellStyle name="Normal 2 4 7 6 3 2" xfId="14805" xr:uid="{EE24E046-6E24-4AE3-A189-E84F28D8455E}"/>
    <cellStyle name="Normal 2 4 7 6 3 3" xfId="23252" xr:uid="{207ECE4A-C48A-4C90-8A0F-A7E44A732915}"/>
    <cellStyle name="Normal 2 4 7 6 4" xfId="10587" xr:uid="{4F77EDDD-0569-4B57-B97A-8B1A4635477B}"/>
    <cellStyle name="Normal 2 4 7 6 5" xfId="19035" xr:uid="{8F7DE385-FD57-40C0-80EA-24CCB854B1D1}"/>
    <cellStyle name="Normal 2 4 7 7" xfId="2485" xr:uid="{00000000-0005-0000-0000-0000FA100000}"/>
    <cellStyle name="Normal 2 4 7 7 2" xfId="6768" xr:uid="{00000000-0005-0000-0000-0000FB100000}"/>
    <cellStyle name="Normal 2 4 7 7 2 2" xfId="15218" xr:uid="{8AC54817-08EB-4E69-81D3-0650A0828780}"/>
    <cellStyle name="Normal 2 4 7 7 2 3" xfId="23665" xr:uid="{444FEEED-21AF-4B06-9EA7-0BD693C419FA}"/>
    <cellStyle name="Normal 2 4 7 7 3" xfId="11000" xr:uid="{D1F7A23A-6D6D-4761-875E-D566828C3508}"/>
    <cellStyle name="Normal 2 4 7 7 4" xfId="19448" xr:uid="{CEA8FD90-3A35-48F7-BD79-63C4E28B72AE}"/>
    <cellStyle name="Normal 2 4 7 8" xfId="4702" xr:uid="{00000000-0005-0000-0000-0000FC100000}"/>
    <cellStyle name="Normal 2 4 7 8 2" xfId="13152" xr:uid="{6EFA9124-E4A9-4F0C-99DD-73993E695FE1}"/>
    <cellStyle name="Normal 2 4 7 8 3" xfId="21599" xr:uid="{DA752621-5FAB-41D0-97B7-C93DD5C96BEB}"/>
    <cellStyle name="Normal 2 4 7 9" xfId="8934" xr:uid="{F21D2032-AD71-4D39-911B-2C7D71E2FFFD}"/>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2 2 2" xfId="15713" xr:uid="{14369F68-0923-4BB1-B20B-85D015182383}"/>
    <cellStyle name="Normal 2 4 8 2 2 2 3" xfId="24160" xr:uid="{E65A2729-6891-41BF-A885-1BC9E6DC21F5}"/>
    <cellStyle name="Normal 2 4 8 2 2 3" xfId="11495" xr:uid="{527AF3AC-895D-475F-AEB5-A2CD72FDE5AF}"/>
    <cellStyle name="Normal 2 4 8 2 2 4" xfId="19943" xr:uid="{5BAF1EE0-44D6-43E3-A0C6-3DE0C84FC64E}"/>
    <cellStyle name="Normal 2 4 8 2 3" xfId="5118" xr:uid="{00000000-0005-0000-0000-000001110000}"/>
    <cellStyle name="Normal 2 4 8 2 3 2" xfId="13568" xr:uid="{CD104498-08A3-4F36-81EB-ABFD4F143547}"/>
    <cellStyle name="Normal 2 4 8 2 3 3" xfId="22015" xr:uid="{4DC47506-1342-48A7-83C9-A30F3138C0C4}"/>
    <cellStyle name="Normal 2 4 8 2 4" xfId="9350" xr:uid="{4E29E4F2-7047-4F0B-8303-C6A12D2EEC5C}"/>
    <cellStyle name="Normal 2 4 8 2 5" xfId="17798" xr:uid="{E941E412-7227-4ED8-BBFF-6AE98CF48A22}"/>
    <cellStyle name="Normal 2 4 8 3" xfId="1224" xr:uid="{00000000-0005-0000-0000-000002110000}"/>
    <cellStyle name="Normal 2 4 8 3 2" xfId="3454" xr:uid="{00000000-0005-0000-0000-000003110000}"/>
    <cellStyle name="Normal 2 4 8 3 2 2" xfId="7676" xr:uid="{00000000-0005-0000-0000-000004110000}"/>
    <cellStyle name="Normal 2 4 8 3 2 2 2" xfId="16126" xr:uid="{CE8F0DBB-4E2D-4AF4-8C00-874126CE4D35}"/>
    <cellStyle name="Normal 2 4 8 3 2 2 3" xfId="24573" xr:uid="{DF0B3566-FB74-4E02-AB22-6CDB836A31AB}"/>
    <cellStyle name="Normal 2 4 8 3 2 3" xfId="11908" xr:uid="{8D466350-61C4-410E-886B-628D9840EAC7}"/>
    <cellStyle name="Normal 2 4 8 3 2 4" xfId="20356" xr:uid="{D0C858EE-8C14-4AD0-9A3C-5F8FC3BA794B}"/>
    <cellStyle name="Normal 2 4 8 3 3" xfId="5531" xr:uid="{00000000-0005-0000-0000-000005110000}"/>
    <cellStyle name="Normal 2 4 8 3 3 2" xfId="13981" xr:uid="{69254DF9-DEC1-443A-B010-39947670864A}"/>
    <cellStyle name="Normal 2 4 8 3 3 3" xfId="22428" xr:uid="{C5080FC6-A93F-4994-8ED0-9BA531E231B7}"/>
    <cellStyle name="Normal 2 4 8 3 4" xfId="9763" xr:uid="{5A7095AB-9A1B-4EB4-A102-8EAED2E16005}"/>
    <cellStyle name="Normal 2 4 8 3 5" xfId="18211" xr:uid="{B9D05A8E-A95A-449D-A79F-1911098795D4}"/>
    <cellStyle name="Normal 2 4 8 4" xfId="1637" xr:uid="{00000000-0005-0000-0000-000006110000}"/>
    <cellStyle name="Normal 2 4 8 4 2" xfId="3867" xr:uid="{00000000-0005-0000-0000-000007110000}"/>
    <cellStyle name="Normal 2 4 8 4 2 2" xfId="8089" xr:uid="{00000000-0005-0000-0000-000008110000}"/>
    <cellStyle name="Normal 2 4 8 4 2 2 2" xfId="16539" xr:uid="{4B5249D3-F630-4DFB-A446-5530494998F4}"/>
    <cellStyle name="Normal 2 4 8 4 2 2 3" xfId="24986" xr:uid="{D8D0CB63-3F28-419A-A744-E097E3B043A8}"/>
    <cellStyle name="Normal 2 4 8 4 2 3" xfId="12321" xr:uid="{A562A32E-976F-43FD-8304-839BE077BE3B}"/>
    <cellStyle name="Normal 2 4 8 4 2 4" xfId="20769" xr:uid="{93B2901E-0272-4B1F-BA4E-9A0B07BA3493}"/>
    <cellStyle name="Normal 2 4 8 4 3" xfId="5944" xr:uid="{00000000-0005-0000-0000-000009110000}"/>
    <cellStyle name="Normal 2 4 8 4 3 2" xfId="14394" xr:uid="{9749DC87-0536-4054-BD3D-35803BBE5750}"/>
    <cellStyle name="Normal 2 4 8 4 3 3" xfId="22841" xr:uid="{0A07EE44-02B5-4539-B19A-F2C2F220E78E}"/>
    <cellStyle name="Normal 2 4 8 4 4" xfId="10176" xr:uid="{A6E373FB-DAE1-4744-9B24-540C098E6C3C}"/>
    <cellStyle name="Normal 2 4 8 4 5" xfId="18624" xr:uid="{5F278F9D-70ED-4179-91AE-657776E9AA86}"/>
    <cellStyle name="Normal 2 4 8 5" xfId="2051" xr:uid="{00000000-0005-0000-0000-00000A110000}"/>
    <cellStyle name="Normal 2 4 8 5 2" xfId="4280" xr:uid="{00000000-0005-0000-0000-00000B110000}"/>
    <cellStyle name="Normal 2 4 8 5 2 2" xfId="8502" xr:uid="{00000000-0005-0000-0000-00000C110000}"/>
    <cellStyle name="Normal 2 4 8 5 2 2 2" xfId="16952" xr:uid="{691AD79B-B64A-4CE7-9FB6-18486565D08B}"/>
    <cellStyle name="Normal 2 4 8 5 2 2 3" xfId="25399" xr:uid="{4B3B28C9-2F94-4247-9A29-828DC0354AD4}"/>
    <cellStyle name="Normal 2 4 8 5 2 3" xfId="12734" xr:uid="{E2B6CE5C-82A0-499F-B8B1-AC5138C87DFF}"/>
    <cellStyle name="Normal 2 4 8 5 2 4" xfId="21182" xr:uid="{DC7E4B62-FA18-4445-80CF-CC2F09C5CBAA}"/>
    <cellStyle name="Normal 2 4 8 5 3" xfId="6357" xr:uid="{00000000-0005-0000-0000-00000D110000}"/>
    <cellStyle name="Normal 2 4 8 5 3 2" xfId="14807" xr:uid="{5615E3B2-70EF-4798-BDD0-BB3F42085F3B}"/>
    <cellStyle name="Normal 2 4 8 5 3 3" xfId="23254" xr:uid="{2B45CC5D-A9BE-4A77-851A-6E8E2E10942B}"/>
    <cellStyle name="Normal 2 4 8 5 4" xfId="10589" xr:uid="{F1F335B0-CD16-4CF0-B8DB-3E285D0AC829}"/>
    <cellStyle name="Normal 2 4 8 5 5" xfId="19037" xr:uid="{F01DFF5C-212C-4E1E-81E1-99FB9E452125}"/>
    <cellStyle name="Normal 2 4 8 6" xfId="2487" xr:uid="{00000000-0005-0000-0000-00000E110000}"/>
    <cellStyle name="Normal 2 4 8 6 2" xfId="6770" xr:uid="{00000000-0005-0000-0000-00000F110000}"/>
    <cellStyle name="Normal 2 4 8 6 2 2" xfId="15220" xr:uid="{80B4EEAB-E028-48EE-86B0-330E4E66FD59}"/>
    <cellStyle name="Normal 2 4 8 6 2 3" xfId="23667" xr:uid="{ACBA3378-BFF0-48CC-9E35-BA9E4B1B19C9}"/>
    <cellStyle name="Normal 2 4 8 6 3" xfId="11002" xr:uid="{F6320D0A-D87B-49ED-8E1F-432BB36EEF39}"/>
    <cellStyle name="Normal 2 4 8 6 4" xfId="19450" xr:uid="{680241E2-A5E7-4102-89A8-458943E08EE8}"/>
    <cellStyle name="Normal 2 4 8 7" xfId="4704" xr:uid="{00000000-0005-0000-0000-000010110000}"/>
    <cellStyle name="Normal 2 4 8 7 2" xfId="13154" xr:uid="{F4F9F94D-1E2A-4003-A5A7-379BC73F9C56}"/>
    <cellStyle name="Normal 2 4 8 7 3" xfId="21601" xr:uid="{54CACDEC-F213-4677-8CA3-8D93D378B467}"/>
    <cellStyle name="Normal 2 4 8 8" xfId="8936" xr:uid="{2E420015-7089-4965-BA7C-A2D47767C894}"/>
    <cellStyle name="Normal 2 4 8 9" xfId="17384" xr:uid="{2447C3D4-853F-4A1F-A92E-A6AB2AC07F54}"/>
    <cellStyle name="Normal 2 5" xfId="315" xr:uid="{00000000-0005-0000-0000-000011110000}"/>
    <cellStyle name="Normal 2 5 10" xfId="4705" xr:uid="{00000000-0005-0000-0000-000012110000}"/>
    <cellStyle name="Normal 2 5 10 2" xfId="13155" xr:uid="{1AA8F3C0-2B10-42B2-9E3F-5F1D90051735}"/>
    <cellStyle name="Normal 2 5 10 3" xfId="21602" xr:uid="{312E1800-649D-4B55-8C5C-8D954CAB87C0}"/>
    <cellStyle name="Normal 2 5 11" xfId="8937" xr:uid="{B5C0EE7C-EA00-49DE-9075-070BAA41B9BC}"/>
    <cellStyle name="Normal 2 5 12" xfId="17385" xr:uid="{D2E550E2-E4DA-43E4-BADC-A8DD57551597}"/>
    <cellStyle name="Normal 2 5 2" xfId="316" xr:uid="{00000000-0005-0000-0000-000013110000}"/>
    <cellStyle name="Normal 2 5 3" xfId="317" xr:uid="{00000000-0005-0000-0000-000014110000}"/>
    <cellStyle name="Normal 2 5 4" xfId="318" xr:uid="{00000000-0005-0000-0000-000015110000}"/>
    <cellStyle name="Normal 2 5 4 10" xfId="8938" xr:uid="{6FA1A1AB-5072-408E-B4C7-7F969C8453C9}"/>
    <cellStyle name="Normal 2 5 4 11" xfId="17386" xr:uid="{E9DE50C6-9134-4F58-B051-7097F0A04A2E}"/>
    <cellStyle name="Normal 2 5 4 2" xfId="319" xr:uid="{00000000-0005-0000-0000-000016110000}"/>
    <cellStyle name="Normal 2 5 4 2 10" xfId="17387" xr:uid="{1BC5FE48-F4DF-4A59-B125-1BA7D8BC0646}"/>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2 2 2" xfId="15717" xr:uid="{4542CE11-7DFD-42B6-9248-6200B645E7C7}"/>
    <cellStyle name="Normal 2 5 4 2 2 2 2 2 3" xfId="24164" xr:uid="{D60E06A8-DFE3-4F2C-8474-DB4112E7116C}"/>
    <cellStyle name="Normal 2 5 4 2 2 2 2 3" xfId="11499" xr:uid="{1E549DF3-A3FD-4F75-9E6F-AB7B28D705EA}"/>
    <cellStyle name="Normal 2 5 4 2 2 2 2 4" xfId="19947" xr:uid="{B235820A-B0DE-435A-BE77-9C23BA79FBCC}"/>
    <cellStyle name="Normal 2 5 4 2 2 2 3" xfId="5122" xr:uid="{00000000-0005-0000-0000-00001B110000}"/>
    <cellStyle name="Normal 2 5 4 2 2 2 3 2" xfId="13572" xr:uid="{C773B4F8-3BC6-4A78-A5D9-7D3619A16512}"/>
    <cellStyle name="Normal 2 5 4 2 2 2 3 3" xfId="22019" xr:uid="{5CB040C2-993F-4B19-8C52-6E760765FD04}"/>
    <cellStyle name="Normal 2 5 4 2 2 2 4" xfId="9354" xr:uid="{871AB9AB-E6BF-435A-B962-70FD199F3FB4}"/>
    <cellStyle name="Normal 2 5 4 2 2 2 5" xfId="17802" xr:uid="{7068FA64-6F64-4E12-9FEA-1B77C64B2E06}"/>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2 2 2" xfId="16130" xr:uid="{466B137D-998A-4D39-83B1-726C45F7E4BD}"/>
    <cellStyle name="Normal 2 5 4 2 2 3 2 2 3" xfId="24577" xr:uid="{3FA3B960-DF77-417C-9F79-05E235E4DBB4}"/>
    <cellStyle name="Normal 2 5 4 2 2 3 2 3" xfId="11912" xr:uid="{01A699AF-D415-4DE2-BE57-642F2D91399A}"/>
    <cellStyle name="Normal 2 5 4 2 2 3 2 4" xfId="20360" xr:uid="{2B6344F4-7322-4D38-9534-9D6822EC0FBE}"/>
    <cellStyle name="Normal 2 5 4 2 2 3 3" xfId="5535" xr:uid="{00000000-0005-0000-0000-00001F110000}"/>
    <cellStyle name="Normal 2 5 4 2 2 3 3 2" xfId="13985" xr:uid="{A30A566A-A39E-46B8-A008-70BDC466C024}"/>
    <cellStyle name="Normal 2 5 4 2 2 3 3 3" xfId="22432" xr:uid="{2A232E5A-460F-42BE-B776-06F16C335339}"/>
    <cellStyle name="Normal 2 5 4 2 2 3 4" xfId="9767" xr:uid="{0EE2C8AA-A4BA-4CE7-92C7-B93FFEC01917}"/>
    <cellStyle name="Normal 2 5 4 2 2 3 5" xfId="18215" xr:uid="{1A510797-2705-4153-A2F3-96F3FFA448BD}"/>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2 2 2" xfId="16543" xr:uid="{355D3758-46E7-44EF-B360-C7A657434E82}"/>
    <cellStyle name="Normal 2 5 4 2 2 4 2 2 3" xfId="24990" xr:uid="{0093B26B-BB1E-4355-9889-DBB92B9DC345}"/>
    <cellStyle name="Normal 2 5 4 2 2 4 2 3" xfId="12325" xr:uid="{FDA4CFA4-D239-4CB4-8BA6-58A620ED216F}"/>
    <cellStyle name="Normal 2 5 4 2 2 4 2 4" xfId="20773" xr:uid="{D43129F4-D70E-4A7C-9FB3-EC119FD473C4}"/>
    <cellStyle name="Normal 2 5 4 2 2 4 3" xfId="5948" xr:uid="{00000000-0005-0000-0000-000023110000}"/>
    <cellStyle name="Normal 2 5 4 2 2 4 3 2" xfId="14398" xr:uid="{106DD2A3-E0F5-4B32-83F1-5CF0BDB235FA}"/>
    <cellStyle name="Normal 2 5 4 2 2 4 3 3" xfId="22845" xr:uid="{4E0BB4F6-5396-4DA9-BA9E-69CF1F007C98}"/>
    <cellStyle name="Normal 2 5 4 2 2 4 4" xfId="10180" xr:uid="{A59B750B-2918-4A11-B9F5-2107227114BC}"/>
    <cellStyle name="Normal 2 5 4 2 2 4 5" xfId="18628" xr:uid="{1B5397A0-C3FD-481F-8CF7-1FE7457C4BE4}"/>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2 2 2" xfId="16956" xr:uid="{F83B8F68-05CF-413D-9107-6AED889F4795}"/>
    <cellStyle name="Normal 2 5 4 2 2 5 2 2 3" xfId="25403" xr:uid="{2727AD4C-1D8D-43FC-B488-0857E3BD6F4D}"/>
    <cellStyle name="Normal 2 5 4 2 2 5 2 3" xfId="12738" xr:uid="{EEC6D23B-E45B-4E2B-90AC-1CCF47E70B6F}"/>
    <cellStyle name="Normal 2 5 4 2 2 5 2 4" xfId="21186" xr:uid="{EDF7F4E8-2DC2-46C6-8200-D80F1CAC9BB5}"/>
    <cellStyle name="Normal 2 5 4 2 2 5 3" xfId="6361" xr:uid="{00000000-0005-0000-0000-000027110000}"/>
    <cellStyle name="Normal 2 5 4 2 2 5 3 2" xfId="14811" xr:uid="{71610A5E-677C-43C0-AF4C-0EE66087D960}"/>
    <cellStyle name="Normal 2 5 4 2 2 5 3 3" xfId="23258" xr:uid="{DBF259FC-4FAB-494B-A099-29E48BB7EA23}"/>
    <cellStyle name="Normal 2 5 4 2 2 5 4" xfId="10593" xr:uid="{905F3261-2A74-47FE-BDFE-C7C043C0B055}"/>
    <cellStyle name="Normal 2 5 4 2 2 5 5" xfId="19041" xr:uid="{B27307A8-7C67-4308-9037-AC4C7F7D2F4C}"/>
    <cellStyle name="Normal 2 5 4 2 2 6" xfId="2491" xr:uid="{00000000-0005-0000-0000-000028110000}"/>
    <cellStyle name="Normal 2 5 4 2 2 6 2" xfId="6774" xr:uid="{00000000-0005-0000-0000-000029110000}"/>
    <cellStyle name="Normal 2 5 4 2 2 6 2 2" xfId="15224" xr:uid="{7D3A94BA-54AE-407F-8E36-4516788794C3}"/>
    <cellStyle name="Normal 2 5 4 2 2 6 2 3" xfId="23671" xr:uid="{88156F16-2515-4A5E-8F2E-DF77BCFAAFBA}"/>
    <cellStyle name="Normal 2 5 4 2 2 6 3" xfId="11006" xr:uid="{4D64D16B-AD65-4E8E-A6EE-C2DA180E87B2}"/>
    <cellStyle name="Normal 2 5 4 2 2 6 4" xfId="19454" xr:uid="{A01C8EFE-47F0-4433-9035-A599F5CDDD70}"/>
    <cellStyle name="Normal 2 5 4 2 2 7" xfId="4708" xr:uid="{00000000-0005-0000-0000-00002A110000}"/>
    <cellStyle name="Normal 2 5 4 2 2 7 2" xfId="13158" xr:uid="{A0364C18-F873-4F22-9FA6-EEA67F0197F3}"/>
    <cellStyle name="Normal 2 5 4 2 2 7 3" xfId="21605" xr:uid="{7086CD09-0A1A-41AC-8E53-0CA813A9BA30}"/>
    <cellStyle name="Normal 2 5 4 2 2 8" xfId="8940" xr:uid="{97D2D3E1-7098-42C5-B0C0-D0BD61D6F691}"/>
    <cellStyle name="Normal 2 5 4 2 2 9" xfId="17388" xr:uid="{5FDECD09-8F42-49E9-9DE7-C03D404027AD}"/>
    <cellStyle name="Normal 2 5 4 2 3" xfId="805" xr:uid="{00000000-0005-0000-0000-00002B110000}"/>
    <cellStyle name="Normal 2 5 4 2 3 2" xfId="3044" xr:uid="{00000000-0005-0000-0000-00002C110000}"/>
    <cellStyle name="Normal 2 5 4 2 3 2 2" xfId="7266" xr:uid="{00000000-0005-0000-0000-00002D110000}"/>
    <cellStyle name="Normal 2 5 4 2 3 2 2 2" xfId="15716" xr:uid="{5258F37D-7BA7-4BA1-B029-FE99A908E085}"/>
    <cellStyle name="Normal 2 5 4 2 3 2 2 3" xfId="24163" xr:uid="{446FFABA-FAE0-4AEB-9629-11C50176571F}"/>
    <cellStyle name="Normal 2 5 4 2 3 2 3" xfId="11498" xr:uid="{EA544565-C704-46E4-9212-357AF89FC693}"/>
    <cellStyle name="Normal 2 5 4 2 3 2 4" xfId="19946" xr:uid="{25807C20-A9C4-4FD8-8A4E-CD7585FCFEA7}"/>
    <cellStyle name="Normal 2 5 4 2 3 3" xfId="5121" xr:uid="{00000000-0005-0000-0000-00002E110000}"/>
    <cellStyle name="Normal 2 5 4 2 3 3 2" xfId="13571" xr:uid="{73A32E76-E614-4A94-A2F8-6F7C0705D838}"/>
    <cellStyle name="Normal 2 5 4 2 3 3 3" xfId="22018" xr:uid="{D160389B-BFA2-4EDF-A071-7ADF9937EAC3}"/>
    <cellStyle name="Normal 2 5 4 2 3 4" xfId="9353" xr:uid="{25762061-7D5A-42E1-B1BE-765BE4311592}"/>
    <cellStyle name="Normal 2 5 4 2 3 5" xfId="17801" xr:uid="{A32A9BBE-DCD6-4BD6-8395-9A9720255729}"/>
    <cellStyle name="Normal 2 5 4 2 4" xfId="1227" xr:uid="{00000000-0005-0000-0000-00002F110000}"/>
    <cellStyle name="Normal 2 5 4 2 4 2" xfId="3457" xr:uid="{00000000-0005-0000-0000-000030110000}"/>
    <cellStyle name="Normal 2 5 4 2 4 2 2" xfId="7679" xr:uid="{00000000-0005-0000-0000-000031110000}"/>
    <cellStyle name="Normal 2 5 4 2 4 2 2 2" xfId="16129" xr:uid="{BCF324BB-45FB-419C-AF9D-07690E8A5630}"/>
    <cellStyle name="Normal 2 5 4 2 4 2 2 3" xfId="24576" xr:uid="{9F9B398F-754D-4BED-9A15-925B0FD3F53F}"/>
    <cellStyle name="Normal 2 5 4 2 4 2 3" xfId="11911" xr:uid="{F79760A6-D766-4C42-A50B-D4F9C1DD4B7D}"/>
    <cellStyle name="Normal 2 5 4 2 4 2 4" xfId="20359" xr:uid="{BFB2DAA8-B72D-4966-9D46-0EA8762A6FD8}"/>
    <cellStyle name="Normal 2 5 4 2 4 3" xfId="5534" xr:uid="{00000000-0005-0000-0000-000032110000}"/>
    <cellStyle name="Normal 2 5 4 2 4 3 2" xfId="13984" xr:uid="{9141A388-B5B7-4826-8967-C3B81A7C029D}"/>
    <cellStyle name="Normal 2 5 4 2 4 3 3" xfId="22431" xr:uid="{D2D86E95-6CB5-4921-8DC3-2A4773DC3029}"/>
    <cellStyle name="Normal 2 5 4 2 4 4" xfId="9766" xr:uid="{EA5DFFBC-DBE4-4C6C-9F34-0C70C4F21648}"/>
    <cellStyle name="Normal 2 5 4 2 4 5" xfId="18214" xr:uid="{B64AF90E-6EBC-4AB5-A48B-8295781BEF22}"/>
    <cellStyle name="Normal 2 5 4 2 5" xfId="1640" xr:uid="{00000000-0005-0000-0000-000033110000}"/>
    <cellStyle name="Normal 2 5 4 2 5 2" xfId="3870" xr:uid="{00000000-0005-0000-0000-000034110000}"/>
    <cellStyle name="Normal 2 5 4 2 5 2 2" xfId="8092" xr:uid="{00000000-0005-0000-0000-000035110000}"/>
    <cellStyle name="Normal 2 5 4 2 5 2 2 2" xfId="16542" xr:uid="{C4209D24-F931-43DB-8767-93AF3D782B10}"/>
    <cellStyle name="Normal 2 5 4 2 5 2 2 3" xfId="24989" xr:uid="{042256CA-042C-4187-98D2-B587C6B36AF0}"/>
    <cellStyle name="Normal 2 5 4 2 5 2 3" xfId="12324" xr:uid="{F2B9247D-4CAA-4980-B2F0-642CD1DF2685}"/>
    <cellStyle name="Normal 2 5 4 2 5 2 4" xfId="20772" xr:uid="{A9D6E972-C078-4EDE-947E-C055894A2739}"/>
    <cellStyle name="Normal 2 5 4 2 5 3" xfId="5947" xr:uid="{00000000-0005-0000-0000-000036110000}"/>
    <cellStyle name="Normal 2 5 4 2 5 3 2" xfId="14397" xr:uid="{504329F0-887E-4F73-9CEA-5684128387D9}"/>
    <cellStyle name="Normal 2 5 4 2 5 3 3" xfId="22844" xr:uid="{D247F289-3C45-42A7-96DD-68808E36BBB4}"/>
    <cellStyle name="Normal 2 5 4 2 5 4" xfId="10179" xr:uid="{84D6298E-1085-4BC2-A698-AB7569F72A8A}"/>
    <cellStyle name="Normal 2 5 4 2 5 5" xfId="18627" xr:uid="{F25A8B08-C224-4ACF-8094-34D273B538FD}"/>
    <cellStyle name="Normal 2 5 4 2 6" xfId="2054" xr:uid="{00000000-0005-0000-0000-000037110000}"/>
    <cellStyle name="Normal 2 5 4 2 6 2" xfId="4283" xr:uid="{00000000-0005-0000-0000-000038110000}"/>
    <cellStyle name="Normal 2 5 4 2 6 2 2" xfId="8505" xr:uid="{00000000-0005-0000-0000-000039110000}"/>
    <cellStyle name="Normal 2 5 4 2 6 2 2 2" xfId="16955" xr:uid="{0F75E2D8-57AA-4A4D-8A5A-B96596535960}"/>
    <cellStyle name="Normal 2 5 4 2 6 2 2 3" xfId="25402" xr:uid="{DEF4D8C4-6A06-46DA-A301-03721BEA5768}"/>
    <cellStyle name="Normal 2 5 4 2 6 2 3" xfId="12737" xr:uid="{F19DF802-9DA5-4446-A63F-9B0CA181D1A2}"/>
    <cellStyle name="Normal 2 5 4 2 6 2 4" xfId="21185" xr:uid="{302ACED4-61FD-4E4D-90DF-55795190FFFD}"/>
    <cellStyle name="Normal 2 5 4 2 6 3" xfId="6360" xr:uid="{00000000-0005-0000-0000-00003A110000}"/>
    <cellStyle name="Normal 2 5 4 2 6 3 2" xfId="14810" xr:uid="{AF582E84-6191-4186-BA50-C43526510534}"/>
    <cellStyle name="Normal 2 5 4 2 6 3 3" xfId="23257" xr:uid="{13F574BA-E43C-4FFC-84D4-5CABBB8B65CD}"/>
    <cellStyle name="Normal 2 5 4 2 6 4" xfId="10592" xr:uid="{E413F7C4-28AA-4855-BC37-8594DBD88B9D}"/>
    <cellStyle name="Normal 2 5 4 2 6 5" xfId="19040" xr:uid="{0A90B2F4-6CA1-446B-9500-2F87115B3D6B}"/>
    <cellStyle name="Normal 2 5 4 2 7" xfId="2490" xr:uid="{00000000-0005-0000-0000-00003B110000}"/>
    <cellStyle name="Normal 2 5 4 2 7 2" xfId="6773" xr:uid="{00000000-0005-0000-0000-00003C110000}"/>
    <cellStyle name="Normal 2 5 4 2 7 2 2" xfId="15223" xr:uid="{CF2EB38C-8ECF-4436-AAFA-6456D36E0DDE}"/>
    <cellStyle name="Normal 2 5 4 2 7 2 3" xfId="23670" xr:uid="{5D378E29-E6E3-4D06-93E1-9201A0F8E954}"/>
    <cellStyle name="Normal 2 5 4 2 7 3" xfId="11005" xr:uid="{2537634E-99AE-48B7-85A1-2A3E47F3340F}"/>
    <cellStyle name="Normal 2 5 4 2 7 4" xfId="19453" xr:uid="{BF8ED533-522B-4BD1-9A9C-7491A42A0DD4}"/>
    <cellStyle name="Normal 2 5 4 2 8" xfId="4707" xr:uid="{00000000-0005-0000-0000-00003D110000}"/>
    <cellStyle name="Normal 2 5 4 2 8 2" xfId="13157" xr:uid="{C5113E7B-858A-4578-9427-E379EE39BE34}"/>
    <cellStyle name="Normal 2 5 4 2 8 3" xfId="21604" xr:uid="{56D943DF-0CEB-47B8-B1E6-4AC4C63EABF6}"/>
    <cellStyle name="Normal 2 5 4 2 9" xfId="8939" xr:uid="{F1D3B06D-0568-4EE5-8D67-033B10C27AC4}"/>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2 2 2" xfId="15718" xr:uid="{A6811017-CBDD-44BD-82B6-C7E4579DB263}"/>
    <cellStyle name="Normal 2 5 4 3 2 2 2 3" xfId="24165" xr:uid="{32EFF80A-4BF7-4AC0-A9D3-38FB4DC4A47C}"/>
    <cellStyle name="Normal 2 5 4 3 2 2 3" xfId="11500" xr:uid="{5A6E5539-136D-4AE1-9DF8-ECBECC822FD6}"/>
    <cellStyle name="Normal 2 5 4 3 2 2 4" xfId="19948" xr:uid="{A1F18BAF-2D0B-43A1-AD12-BAA8F52BCD12}"/>
    <cellStyle name="Normal 2 5 4 3 2 3" xfId="5123" xr:uid="{00000000-0005-0000-0000-000042110000}"/>
    <cellStyle name="Normal 2 5 4 3 2 3 2" xfId="13573" xr:uid="{602C0F77-EDE4-4986-B833-76BB13F0FA1F}"/>
    <cellStyle name="Normal 2 5 4 3 2 3 3" xfId="22020" xr:uid="{2C2DB687-D736-4B73-8A5A-F02C3FB57DF8}"/>
    <cellStyle name="Normal 2 5 4 3 2 4" xfId="9355" xr:uid="{994513A3-F188-471C-B5A7-0B81AF7DDF75}"/>
    <cellStyle name="Normal 2 5 4 3 2 5" xfId="17803" xr:uid="{B635F9FA-A04D-497C-818D-232A3B8F6A11}"/>
    <cellStyle name="Normal 2 5 4 3 3" xfId="1229" xr:uid="{00000000-0005-0000-0000-000043110000}"/>
    <cellStyle name="Normal 2 5 4 3 3 2" xfId="3459" xr:uid="{00000000-0005-0000-0000-000044110000}"/>
    <cellStyle name="Normal 2 5 4 3 3 2 2" xfId="7681" xr:uid="{00000000-0005-0000-0000-000045110000}"/>
    <cellStyle name="Normal 2 5 4 3 3 2 2 2" xfId="16131" xr:uid="{0F065960-3101-42EC-94DB-F81B5F6EA763}"/>
    <cellStyle name="Normal 2 5 4 3 3 2 2 3" xfId="24578" xr:uid="{16A3F5DF-A976-4125-83CA-CA530BBBD4D2}"/>
    <cellStyle name="Normal 2 5 4 3 3 2 3" xfId="11913" xr:uid="{BE8445E8-C76D-49F2-9FE8-758FFE49B636}"/>
    <cellStyle name="Normal 2 5 4 3 3 2 4" xfId="20361" xr:uid="{1C1FA648-1219-4EE0-9AC5-8865792DE859}"/>
    <cellStyle name="Normal 2 5 4 3 3 3" xfId="5536" xr:uid="{00000000-0005-0000-0000-000046110000}"/>
    <cellStyle name="Normal 2 5 4 3 3 3 2" xfId="13986" xr:uid="{1214AFAE-F3D3-4A7D-92CF-9D16092E475C}"/>
    <cellStyle name="Normal 2 5 4 3 3 3 3" xfId="22433" xr:uid="{5DCAA58C-3196-4CDA-8D47-741872EAADEB}"/>
    <cellStyle name="Normal 2 5 4 3 3 4" xfId="9768" xr:uid="{420CEB09-FB9C-4552-908B-42C547860FD1}"/>
    <cellStyle name="Normal 2 5 4 3 3 5" xfId="18216" xr:uid="{587EA823-89A8-45D5-815C-8C9A029E2389}"/>
    <cellStyle name="Normal 2 5 4 3 4" xfId="1642" xr:uid="{00000000-0005-0000-0000-000047110000}"/>
    <cellStyle name="Normal 2 5 4 3 4 2" xfId="3872" xr:uid="{00000000-0005-0000-0000-000048110000}"/>
    <cellStyle name="Normal 2 5 4 3 4 2 2" xfId="8094" xr:uid="{00000000-0005-0000-0000-000049110000}"/>
    <cellStyle name="Normal 2 5 4 3 4 2 2 2" xfId="16544" xr:uid="{7C6E5CAB-C7C2-40E0-94D6-6B01506AD484}"/>
    <cellStyle name="Normal 2 5 4 3 4 2 2 3" xfId="24991" xr:uid="{72A9C578-7379-494B-AC53-9852A7441059}"/>
    <cellStyle name="Normal 2 5 4 3 4 2 3" xfId="12326" xr:uid="{689F6FE0-DD3D-423A-BE6D-5C8874E57B43}"/>
    <cellStyle name="Normal 2 5 4 3 4 2 4" xfId="20774" xr:uid="{94401341-D7B5-4CEE-B05C-45312C345CDD}"/>
    <cellStyle name="Normal 2 5 4 3 4 3" xfId="5949" xr:uid="{00000000-0005-0000-0000-00004A110000}"/>
    <cellStyle name="Normal 2 5 4 3 4 3 2" xfId="14399" xr:uid="{A4D42E82-58E1-4EE1-A421-32950B00714D}"/>
    <cellStyle name="Normal 2 5 4 3 4 3 3" xfId="22846" xr:uid="{B69F2DF6-2EDC-4116-B4C9-80CB3143495A}"/>
    <cellStyle name="Normal 2 5 4 3 4 4" xfId="10181" xr:uid="{ABBCD72E-1B39-445B-83EA-96DB6373925F}"/>
    <cellStyle name="Normal 2 5 4 3 4 5" xfId="18629" xr:uid="{35C8A77E-78B6-4A98-8CEA-FAADACDBAD2D}"/>
    <cellStyle name="Normal 2 5 4 3 5" xfId="2056" xr:uid="{00000000-0005-0000-0000-00004B110000}"/>
    <cellStyle name="Normal 2 5 4 3 5 2" xfId="4285" xr:uid="{00000000-0005-0000-0000-00004C110000}"/>
    <cellStyle name="Normal 2 5 4 3 5 2 2" xfId="8507" xr:uid="{00000000-0005-0000-0000-00004D110000}"/>
    <cellStyle name="Normal 2 5 4 3 5 2 2 2" xfId="16957" xr:uid="{0608155B-56E6-4F24-AEA5-28E4DF35F132}"/>
    <cellStyle name="Normal 2 5 4 3 5 2 2 3" xfId="25404" xr:uid="{643B2073-8F55-42EC-A83D-76820E24D4CC}"/>
    <cellStyle name="Normal 2 5 4 3 5 2 3" xfId="12739" xr:uid="{981530D1-6481-438E-BBE3-1F905B58E718}"/>
    <cellStyle name="Normal 2 5 4 3 5 2 4" xfId="21187" xr:uid="{E67D104A-76E1-48E4-8831-48B7F1EBB4A9}"/>
    <cellStyle name="Normal 2 5 4 3 5 3" xfId="6362" xr:uid="{00000000-0005-0000-0000-00004E110000}"/>
    <cellStyle name="Normal 2 5 4 3 5 3 2" xfId="14812" xr:uid="{8DB4B6D2-3D2B-430B-96DC-08EC81CDC777}"/>
    <cellStyle name="Normal 2 5 4 3 5 3 3" xfId="23259" xr:uid="{B43F624A-DF80-42FE-A1DA-F0366ED7EFA4}"/>
    <cellStyle name="Normal 2 5 4 3 5 4" xfId="10594" xr:uid="{6F3C2883-CD81-4FAF-9D94-E1CD0636027B}"/>
    <cellStyle name="Normal 2 5 4 3 5 5" xfId="19042" xr:uid="{B6B29659-AAD8-46B9-BD8B-715A939EB021}"/>
    <cellStyle name="Normal 2 5 4 3 6" xfId="2492" xr:uid="{00000000-0005-0000-0000-00004F110000}"/>
    <cellStyle name="Normal 2 5 4 3 6 2" xfId="6775" xr:uid="{00000000-0005-0000-0000-000050110000}"/>
    <cellStyle name="Normal 2 5 4 3 6 2 2" xfId="15225" xr:uid="{5E205884-0B13-4A39-8363-706491B7A631}"/>
    <cellStyle name="Normal 2 5 4 3 6 2 3" xfId="23672" xr:uid="{B5478E2C-C9C6-4BA6-98F1-EB55D4859CB0}"/>
    <cellStyle name="Normal 2 5 4 3 6 3" xfId="11007" xr:uid="{86343CC1-9E79-4C3F-85DF-A968729560F6}"/>
    <cellStyle name="Normal 2 5 4 3 6 4" xfId="19455" xr:uid="{C1B45865-8145-46B0-9BC6-4E719E769C5C}"/>
    <cellStyle name="Normal 2 5 4 3 7" xfId="4709" xr:uid="{00000000-0005-0000-0000-000051110000}"/>
    <cellStyle name="Normal 2 5 4 3 7 2" xfId="13159" xr:uid="{8F215313-DBFE-4654-BC23-8BBDDBBD6EE5}"/>
    <cellStyle name="Normal 2 5 4 3 7 3" xfId="21606" xr:uid="{0416CA77-873E-4241-8A04-F33AAE19B88F}"/>
    <cellStyle name="Normal 2 5 4 3 8" xfId="8941" xr:uid="{F561A9D4-09A2-4E64-854E-518FFD91A8EF}"/>
    <cellStyle name="Normal 2 5 4 3 9" xfId="17389" xr:uid="{C9EE326D-AF4E-4813-97F2-AE9D1CE12A4E}"/>
    <cellStyle name="Normal 2 5 4 4" xfId="804" xr:uid="{00000000-0005-0000-0000-000052110000}"/>
    <cellStyle name="Normal 2 5 4 4 2" xfId="3043" xr:uid="{00000000-0005-0000-0000-000053110000}"/>
    <cellStyle name="Normal 2 5 4 4 2 2" xfId="7265" xr:uid="{00000000-0005-0000-0000-000054110000}"/>
    <cellStyle name="Normal 2 5 4 4 2 2 2" xfId="15715" xr:uid="{2EB95C5D-B3F1-4FB0-9837-70034882AEBA}"/>
    <cellStyle name="Normal 2 5 4 4 2 2 3" xfId="24162" xr:uid="{CE9778A8-94C8-4CC6-9C71-F4B3BE20FF15}"/>
    <cellStyle name="Normal 2 5 4 4 2 3" xfId="11497" xr:uid="{37A31D83-94E0-4CA6-A5C1-EA7F88DC042C}"/>
    <cellStyle name="Normal 2 5 4 4 2 4" xfId="19945" xr:uid="{4EC70A78-D1DA-4DE9-82D7-10B3BA660884}"/>
    <cellStyle name="Normal 2 5 4 4 3" xfId="5120" xr:uid="{00000000-0005-0000-0000-000055110000}"/>
    <cellStyle name="Normal 2 5 4 4 3 2" xfId="13570" xr:uid="{34BD911E-1709-4CEC-BD4F-9AD8946D42FF}"/>
    <cellStyle name="Normal 2 5 4 4 3 3" xfId="22017" xr:uid="{5B708C32-4A13-4AF3-83F0-6C5F1265F446}"/>
    <cellStyle name="Normal 2 5 4 4 4" xfId="9352" xr:uid="{3A6C0B86-667E-4E08-94A8-28D686E33262}"/>
    <cellStyle name="Normal 2 5 4 4 5" xfId="17800" xr:uid="{8BEB755C-1603-4C84-B15F-B5D433E2DFC3}"/>
    <cellStyle name="Normal 2 5 4 5" xfId="1226" xr:uid="{00000000-0005-0000-0000-000056110000}"/>
    <cellStyle name="Normal 2 5 4 5 2" xfId="3456" xr:uid="{00000000-0005-0000-0000-000057110000}"/>
    <cellStyle name="Normal 2 5 4 5 2 2" xfId="7678" xr:uid="{00000000-0005-0000-0000-000058110000}"/>
    <cellStyle name="Normal 2 5 4 5 2 2 2" xfId="16128" xr:uid="{D42804CA-847F-48BE-AC20-5417E5F92A6A}"/>
    <cellStyle name="Normal 2 5 4 5 2 2 3" xfId="24575" xr:uid="{2BD276B5-F71F-4F1B-9E3B-BC84E127AD4C}"/>
    <cellStyle name="Normal 2 5 4 5 2 3" xfId="11910" xr:uid="{E4952A23-7715-487A-A5CD-AFBC6122461F}"/>
    <cellStyle name="Normal 2 5 4 5 2 4" xfId="20358" xr:uid="{A16CC23E-FA14-4458-9736-8C75CB18D153}"/>
    <cellStyle name="Normal 2 5 4 5 3" xfId="5533" xr:uid="{00000000-0005-0000-0000-000059110000}"/>
    <cellStyle name="Normal 2 5 4 5 3 2" xfId="13983" xr:uid="{7A2440E3-28C4-4DDE-96D9-9445031DDED0}"/>
    <cellStyle name="Normal 2 5 4 5 3 3" xfId="22430" xr:uid="{99F63D75-B485-456F-8716-317613EE0D45}"/>
    <cellStyle name="Normal 2 5 4 5 4" xfId="9765" xr:uid="{0691B2BB-0D17-4A33-B3B2-382AA4674E54}"/>
    <cellStyle name="Normal 2 5 4 5 5" xfId="18213" xr:uid="{62E1DAAE-5ECD-4AD3-9080-BFF7AD0EC676}"/>
    <cellStyle name="Normal 2 5 4 6" xfId="1639" xr:uid="{00000000-0005-0000-0000-00005A110000}"/>
    <cellStyle name="Normal 2 5 4 6 2" xfId="3869" xr:uid="{00000000-0005-0000-0000-00005B110000}"/>
    <cellStyle name="Normal 2 5 4 6 2 2" xfId="8091" xr:uid="{00000000-0005-0000-0000-00005C110000}"/>
    <cellStyle name="Normal 2 5 4 6 2 2 2" xfId="16541" xr:uid="{BD1F8BE8-2168-4D13-B013-4A5682AF1DD0}"/>
    <cellStyle name="Normal 2 5 4 6 2 2 3" xfId="24988" xr:uid="{918F13BA-D8CF-45F5-857A-7434E3AF573E}"/>
    <cellStyle name="Normal 2 5 4 6 2 3" xfId="12323" xr:uid="{41D1AB01-06E6-473E-9F77-FDA3CE8BFBB7}"/>
    <cellStyle name="Normal 2 5 4 6 2 4" xfId="20771" xr:uid="{17E47FDB-A009-4233-9358-593B53FAE411}"/>
    <cellStyle name="Normal 2 5 4 6 3" xfId="5946" xr:uid="{00000000-0005-0000-0000-00005D110000}"/>
    <cellStyle name="Normal 2 5 4 6 3 2" xfId="14396" xr:uid="{A9D47282-D7C1-45AF-848F-D27ED9E8DEC8}"/>
    <cellStyle name="Normal 2 5 4 6 3 3" xfId="22843" xr:uid="{9531E6B8-7BD1-4E73-BF02-DC3CE45B5F5B}"/>
    <cellStyle name="Normal 2 5 4 6 4" xfId="10178" xr:uid="{2DB82A1D-A84C-4950-9678-5F5B5596CD9E}"/>
    <cellStyle name="Normal 2 5 4 6 5" xfId="18626" xr:uid="{1B216F62-F630-4814-9314-34E376765B49}"/>
    <cellStyle name="Normal 2 5 4 7" xfId="2053" xr:uid="{00000000-0005-0000-0000-00005E110000}"/>
    <cellStyle name="Normal 2 5 4 7 2" xfId="4282" xr:uid="{00000000-0005-0000-0000-00005F110000}"/>
    <cellStyle name="Normal 2 5 4 7 2 2" xfId="8504" xr:uid="{00000000-0005-0000-0000-000060110000}"/>
    <cellStyle name="Normal 2 5 4 7 2 2 2" xfId="16954" xr:uid="{727DAB17-4FE8-4C6E-ADAA-643B303032C4}"/>
    <cellStyle name="Normal 2 5 4 7 2 2 3" xfId="25401" xr:uid="{3B52E975-D243-4D6D-B5F4-8FA2AAD17EA1}"/>
    <cellStyle name="Normal 2 5 4 7 2 3" xfId="12736" xr:uid="{AF8EA49E-491B-4550-9CC4-52316CDED84A}"/>
    <cellStyle name="Normal 2 5 4 7 2 4" xfId="21184" xr:uid="{F5407332-827B-4829-BDD8-102C897E6362}"/>
    <cellStyle name="Normal 2 5 4 7 3" xfId="6359" xr:uid="{00000000-0005-0000-0000-000061110000}"/>
    <cellStyle name="Normal 2 5 4 7 3 2" xfId="14809" xr:uid="{162CF3AB-1648-41E7-9368-76A259AA3310}"/>
    <cellStyle name="Normal 2 5 4 7 3 3" xfId="23256" xr:uid="{1B640CAB-99C2-4403-933F-106C2F8887CB}"/>
    <cellStyle name="Normal 2 5 4 7 4" xfId="10591" xr:uid="{FDEAD1D2-223F-484B-A1DA-B4259E649F8E}"/>
    <cellStyle name="Normal 2 5 4 7 5" xfId="19039" xr:uid="{404AF947-DAEC-421D-8E23-26BB5608B675}"/>
    <cellStyle name="Normal 2 5 4 8" xfId="2489" xr:uid="{00000000-0005-0000-0000-000062110000}"/>
    <cellStyle name="Normal 2 5 4 8 2" xfId="6772" xr:uid="{00000000-0005-0000-0000-000063110000}"/>
    <cellStyle name="Normal 2 5 4 8 2 2" xfId="15222" xr:uid="{16DDC8FF-B903-4803-9D00-2D347CCB6DE0}"/>
    <cellStyle name="Normal 2 5 4 8 2 3" xfId="23669" xr:uid="{7552324D-B9B5-4EDA-AB09-F770221BC384}"/>
    <cellStyle name="Normal 2 5 4 8 3" xfId="11004" xr:uid="{E005290F-4088-4074-86DF-3163D8B41EAE}"/>
    <cellStyle name="Normal 2 5 4 8 4" xfId="19452" xr:uid="{837BA51D-8DEB-4149-ACE4-DC743396FD4B}"/>
    <cellStyle name="Normal 2 5 4 9" xfId="4706" xr:uid="{00000000-0005-0000-0000-000064110000}"/>
    <cellStyle name="Normal 2 5 4 9 2" xfId="13156" xr:uid="{32D8DD8B-DDE2-45C2-AB7D-4618B1820FF9}"/>
    <cellStyle name="Normal 2 5 4 9 3" xfId="21603" xr:uid="{E0A17C64-77F0-4CE7-A7F8-0E5AF591C567}"/>
    <cellStyle name="Normal 2 5 5" xfId="803" xr:uid="{00000000-0005-0000-0000-000065110000}"/>
    <cellStyle name="Normal 2 5 5 2" xfId="3042" xr:uid="{00000000-0005-0000-0000-000066110000}"/>
    <cellStyle name="Normal 2 5 5 2 2" xfId="7264" xr:uid="{00000000-0005-0000-0000-000067110000}"/>
    <cellStyle name="Normal 2 5 5 2 2 2" xfId="15714" xr:uid="{FD54EC6F-6022-44F4-A005-220A9953ACCE}"/>
    <cellStyle name="Normal 2 5 5 2 2 3" xfId="24161" xr:uid="{F4A26355-5FB7-4D39-84A9-8A26A9DCEE8B}"/>
    <cellStyle name="Normal 2 5 5 2 3" xfId="11496" xr:uid="{CDFA5131-A2AA-4A2B-AA2F-D6C6343F3AEF}"/>
    <cellStyle name="Normal 2 5 5 2 4" xfId="19944" xr:uid="{B7D4F539-90A7-4E50-91A4-1C48001CD94D}"/>
    <cellStyle name="Normal 2 5 5 3" xfId="5119" xr:uid="{00000000-0005-0000-0000-000068110000}"/>
    <cellStyle name="Normal 2 5 5 3 2" xfId="13569" xr:uid="{DB73B86E-668D-4D42-B714-1AD0201FAEC5}"/>
    <cellStyle name="Normal 2 5 5 3 3" xfId="22016" xr:uid="{E7D9DA28-4267-4AC4-8F43-F20C8B1F11AA}"/>
    <cellStyle name="Normal 2 5 5 4" xfId="9351" xr:uid="{35C49317-6F81-400E-9EDF-34DD711731E3}"/>
    <cellStyle name="Normal 2 5 5 5" xfId="17799" xr:uid="{13F04AA2-4676-495A-B2EE-15B776BA75DB}"/>
    <cellStyle name="Normal 2 5 6" xfId="1225" xr:uid="{00000000-0005-0000-0000-000069110000}"/>
    <cellStyle name="Normal 2 5 6 2" xfId="3455" xr:uid="{00000000-0005-0000-0000-00006A110000}"/>
    <cellStyle name="Normal 2 5 6 2 2" xfId="7677" xr:uid="{00000000-0005-0000-0000-00006B110000}"/>
    <cellStyle name="Normal 2 5 6 2 2 2" xfId="16127" xr:uid="{0B9B3D00-2430-46CC-A1F4-88B552E0F37A}"/>
    <cellStyle name="Normal 2 5 6 2 2 3" xfId="24574" xr:uid="{24F96C3A-E13F-4825-A44F-420FE8FCB137}"/>
    <cellStyle name="Normal 2 5 6 2 3" xfId="11909" xr:uid="{7E30AA19-7D9F-4FBC-86D6-7CA200CD3ED9}"/>
    <cellStyle name="Normal 2 5 6 2 4" xfId="20357" xr:uid="{20D6CD9C-9245-4944-9063-EF5A4342D113}"/>
    <cellStyle name="Normal 2 5 6 3" xfId="5532" xr:uid="{00000000-0005-0000-0000-00006C110000}"/>
    <cellStyle name="Normal 2 5 6 3 2" xfId="13982" xr:uid="{696390B1-72B6-4F41-B631-F75E7FA73401}"/>
    <cellStyle name="Normal 2 5 6 3 3" xfId="22429" xr:uid="{5374B0C3-2421-4B99-955C-20FC7CF8ADA7}"/>
    <cellStyle name="Normal 2 5 6 4" xfId="9764" xr:uid="{95C26576-E58D-4F94-8EB5-0131B8C54F31}"/>
    <cellStyle name="Normal 2 5 6 5" xfId="18212" xr:uid="{F69F2D07-92D3-41E3-B9B2-BA0EC83744D1}"/>
    <cellStyle name="Normal 2 5 7" xfId="1638" xr:uid="{00000000-0005-0000-0000-00006D110000}"/>
    <cellStyle name="Normal 2 5 7 2" xfId="3868" xr:uid="{00000000-0005-0000-0000-00006E110000}"/>
    <cellStyle name="Normal 2 5 7 2 2" xfId="8090" xr:uid="{00000000-0005-0000-0000-00006F110000}"/>
    <cellStyle name="Normal 2 5 7 2 2 2" xfId="16540" xr:uid="{0766AEE2-4B47-48B9-A868-CA4BFE12E9B7}"/>
    <cellStyle name="Normal 2 5 7 2 2 3" xfId="24987" xr:uid="{F221200F-8286-42B1-A7C7-0700692AA634}"/>
    <cellStyle name="Normal 2 5 7 2 3" xfId="12322" xr:uid="{C534B1C5-8C33-4CBB-B96A-FC2BB6B76910}"/>
    <cellStyle name="Normal 2 5 7 2 4" xfId="20770" xr:uid="{EEBC69EE-7AC4-430F-BD80-647A34845033}"/>
    <cellStyle name="Normal 2 5 7 3" xfId="5945" xr:uid="{00000000-0005-0000-0000-000070110000}"/>
    <cellStyle name="Normal 2 5 7 3 2" xfId="14395" xr:uid="{8AF9B464-3654-470C-89D5-7BB140E1F45F}"/>
    <cellStyle name="Normal 2 5 7 3 3" xfId="22842" xr:uid="{39FA6C62-5CA2-453B-B206-C76DF3E86CB6}"/>
    <cellStyle name="Normal 2 5 7 4" xfId="10177" xr:uid="{CCE832A2-0E98-4688-90D6-22346DA1F95C}"/>
    <cellStyle name="Normal 2 5 7 5" xfId="18625" xr:uid="{96E45670-3A02-4DDF-8765-C08CE7AA8B1C}"/>
    <cellStyle name="Normal 2 5 8" xfId="2052" xr:uid="{00000000-0005-0000-0000-000071110000}"/>
    <cellStyle name="Normal 2 5 8 2" xfId="4281" xr:uid="{00000000-0005-0000-0000-000072110000}"/>
    <cellStyle name="Normal 2 5 8 2 2" xfId="8503" xr:uid="{00000000-0005-0000-0000-000073110000}"/>
    <cellStyle name="Normal 2 5 8 2 2 2" xfId="16953" xr:uid="{94B851E0-3303-4ACA-810C-B8AB59B32FB4}"/>
    <cellStyle name="Normal 2 5 8 2 2 3" xfId="25400" xr:uid="{DA520ABA-A3C7-4AB6-B1E5-EC7D536343D8}"/>
    <cellStyle name="Normal 2 5 8 2 3" xfId="12735" xr:uid="{4A65B644-AD86-46DF-8D00-A4A82E0FEF46}"/>
    <cellStyle name="Normal 2 5 8 2 4" xfId="21183" xr:uid="{9F64B2E5-AD6E-4AC8-BD49-64E960FC8969}"/>
    <cellStyle name="Normal 2 5 8 3" xfId="6358" xr:uid="{00000000-0005-0000-0000-000074110000}"/>
    <cellStyle name="Normal 2 5 8 3 2" xfId="14808" xr:uid="{FE997F12-BBF8-4CA9-9A71-BA6E7E040553}"/>
    <cellStyle name="Normal 2 5 8 3 3" xfId="23255" xr:uid="{5526447F-5603-4C0F-B3AD-99D531E37DC8}"/>
    <cellStyle name="Normal 2 5 8 4" xfId="10590" xr:uid="{661474C6-5E4D-40CC-9E7E-08468726EA8D}"/>
    <cellStyle name="Normal 2 5 8 5" xfId="19038" xr:uid="{B3DECA33-8A2D-4F04-9BAC-D7BD1F723525}"/>
    <cellStyle name="Normal 2 5 9" xfId="2488" xr:uid="{00000000-0005-0000-0000-000075110000}"/>
    <cellStyle name="Normal 2 5 9 2" xfId="6771" xr:uid="{00000000-0005-0000-0000-000076110000}"/>
    <cellStyle name="Normal 2 5 9 2 2" xfId="15221" xr:uid="{EC4B841D-F14C-4A4E-B448-CFDFE596E945}"/>
    <cellStyle name="Normal 2 5 9 2 3" xfId="23668" xr:uid="{DD8368C7-5DD4-4D9A-9D62-278A2C7AF6D0}"/>
    <cellStyle name="Normal 2 5 9 3" xfId="11003" xr:uid="{FC323F1D-38D5-4A30-8A8A-4DBB8D6615F1}"/>
    <cellStyle name="Normal 2 5 9 4" xfId="19451" xr:uid="{8490BBCB-BED9-41B7-92C6-C84CD2A4EC57}"/>
    <cellStyle name="Normal 2 6" xfId="322" xr:uid="{00000000-0005-0000-0000-000077110000}"/>
    <cellStyle name="Normal 2 7" xfId="769" xr:uid="{00000000-0005-0000-0000-000078110000}"/>
    <cellStyle name="Normal 2 8" xfId="4495" xr:uid="{00000000-0005-0000-0000-000079110000}"/>
    <cellStyle name="Normal 2 8 2" xfId="12947" xr:uid="{B4668DD8-E347-439E-973A-D83D09EEA7E0}"/>
    <cellStyle name="Normal 3" xfId="323" xr:uid="{00000000-0005-0000-0000-00007A110000}"/>
    <cellStyle name="Normal 3 2" xfId="324" xr:uid="{00000000-0005-0000-0000-00007B110000}"/>
    <cellStyle name="Normal 3 2 10" xfId="8942" xr:uid="{05AD464F-2EE8-4DAC-A077-704FD27D4D5D}"/>
    <cellStyle name="Normal 3 2 11" xfId="17390" xr:uid="{37141DDE-BF9C-4653-8763-6B1D045FBBC7}"/>
    <cellStyle name="Normal 3 2 2" xfId="325" xr:uid="{00000000-0005-0000-0000-00007C110000}"/>
    <cellStyle name="Normal 3 2 2 2" xfId="810" xr:uid="{00000000-0005-0000-0000-00007D110000}"/>
    <cellStyle name="Normal 3 2 3" xfId="326" xr:uid="{00000000-0005-0000-0000-00007E110000}"/>
    <cellStyle name="Normal 3 2 3 10" xfId="8943" xr:uid="{56625ADA-86AF-41AE-B7C8-4794CA9E38DB}"/>
    <cellStyle name="Normal 3 2 3 11" xfId="17391" xr:uid="{42E4FC48-9D6B-40B6-8BA5-101BAF1B11C2}"/>
    <cellStyle name="Normal 3 2 3 2" xfId="327" xr:uid="{00000000-0005-0000-0000-00007F110000}"/>
    <cellStyle name="Normal 3 2 3 2 10" xfId="17392" xr:uid="{9DCCC12D-3CE7-46CA-8E8E-1D50BCDBD53E}"/>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2 2 2" xfId="15722" xr:uid="{A307F9DB-A03A-4FF0-A304-46327FF8D92D}"/>
    <cellStyle name="Normal 3 2 3 2 2 2 2 2 3" xfId="24169" xr:uid="{EB6B86E7-BE35-4723-91EA-652927243563}"/>
    <cellStyle name="Normal 3 2 3 2 2 2 2 3" xfId="11504" xr:uid="{12515C14-C622-4F3A-A025-E9A2E811F6BF}"/>
    <cellStyle name="Normal 3 2 3 2 2 2 2 4" xfId="19952" xr:uid="{5710423F-19DA-4139-B519-8F192A0032BB}"/>
    <cellStyle name="Normal 3 2 3 2 2 2 3" xfId="5127" xr:uid="{00000000-0005-0000-0000-000084110000}"/>
    <cellStyle name="Normal 3 2 3 2 2 2 3 2" xfId="13577" xr:uid="{E583C71A-F464-48FC-B544-38EF1782040E}"/>
    <cellStyle name="Normal 3 2 3 2 2 2 3 3" xfId="22024" xr:uid="{1D22D79C-9F02-4CC4-8D49-49D61F3DCE61}"/>
    <cellStyle name="Normal 3 2 3 2 2 2 4" xfId="9359" xr:uid="{DC4C4AF4-7D4A-4A41-9463-F0F36066AC0C}"/>
    <cellStyle name="Normal 3 2 3 2 2 2 5" xfId="17807" xr:uid="{BC7FB065-7273-498F-BE43-92426290666F}"/>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2 2 2" xfId="16135" xr:uid="{2F9D3797-0C7C-46D0-BCEC-9B1B33F4556C}"/>
    <cellStyle name="Normal 3 2 3 2 2 3 2 2 3" xfId="24582" xr:uid="{6687F7CC-2BD7-486A-9876-3B434E52859E}"/>
    <cellStyle name="Normal 3 2 3 2 2 3 2 3" xfId="11917" xr:uid="{5296739F-F648-470C-8C76-77E36956394D}"/>
    <cellStyle name="Normal 3 2 3 2 2 3 2 4" xfId="20365" xr:uid="{BEC9D3D5-BF8C-427F-B98C-639A1E0DE2A7}"/>
    <cellStyle name="Normal 3 2 3 2 2 3 3" xfId="5540" xr:uid="{00000000-0005-0000-0000-000088110000}"/>
    <cellStyle name="Normal 3 2 3 2 2 3 3 2" xfId="13990" xr:uid="{11E4DEFF-078C-4E7F-8751-2274E64CC8A8}"/>
    <cellStyle name="Normal 3 2 3 2 2 3 3 3" xfId="22437" xr:uid="{B459B91D-C4DC-499C-93F2-8B0FFDC96129}"/>
    <cellStyle name="Normal 3 2 3 2 2 3 4" xfId="9772" xr:uid="{A80F3A7B-63B5-4FCC-A99D-1643E34784D5}"/>
    <cellStyle name="Normal 3 2 3 2 2 3 5" xfId="18220" xr:uid="{799D3A69-59D1-4460-B788-FFE3F5FED993}"/>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2 2 2" xfId="16548" xr:uid="{30A2A7E4-AD5D-4B47-81E9-091532403D50}"/>
    <cellStyle name="Normal 3 2 3 2 2 4 2 2 3" xfId="24995" xr:uid="{D483960A-7BA9-4B66-954D-33ACFC5B82C0}"/>
    <cellStyle name="Normal 3 2 3 2 2 4 2 3" xfId="12330" xr:uid="{F16F5477-4FE7-4101-9765-5A01A86818F8}"/>
    <cellStyle name="Normal 3 2 3 2 2 4 2 4" xfId="20778" xr:uid="{69BC28C5-A33C-406F-B3AE-B60CD0B9CD14}"/>
    <cellStyle name="Normal 3 2 3 2 2 4 3" xfId="5953" xr:uid="{00000000-0005-0000-0000-00008C110000}"/>
    <cellStyle name="Normal 3 2 3 2 2 4 3 2" xfId="14403" xr:uid="{C831CC66-540E-404E-B749-ED87FA075718}"/>
    <cellStyle name="Normal 3 2 3 2 2 4 3 3" xfId="22850" xr:uid="{7A5827ED-34D9-4319-8439-91854864A768}"/>
    <cellStyle name="Normal 3 2 3 2 2 4 4" xfId="10185" xr:uid="{B6DF38FE-4E47-49DB-90C7-CB5CA54ED77B}"/>
    <cellStyle name="Normal 3 2 3 2 2 4 5" xfId="18633" xr:uid="{3978EF5B-4020-4B9A-9809-8FFA4CC4C6DF}"/>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2 2 2" xfId="16961" xr:uid="{53BD195F-A83A-41B4-AA24-7296BE2F9A48}"/>
    <cellStyle name="Normal 3 2 3 2 2 5 2 2 3" xfId="25408" xr:uid="{82103A93-448E-4C1C-8F5F-418A8A2CF28F}"/>
    <cellStyle name="Normal 3 2 3 2 2 5 2 3" xfId="12743" xr:uid="{F65B6519-F32B-4068-9F91-11C03089DA5E}"/>
    <cellStyle name="Normal 3 2 3 2 2 5 2 4" xfId="21191" xr:uid="{088F9C08-85BF-4D0B-A532-AF63C4506CB3}"/>
    <cellStyle name="Normal 3 2 3 2 2 5 3" xfId="6366" xr:uid="{00000000-0005-0000-0000-000090110000}"/>
    <cellStyle name="Normal 3 2 3 2 2 5 3 2" xfId="14816" xr:uid="{D430824C-99D6-48FF-B8F5-A57CBF229D30}"/>
    <cellStyle name="Normal 3 2 3 2 2 5 3 3" xfId="23263" xr:uid="{1EEF100E-21E8-46E8-A8A3-6FE2B5A1BE76}"/>
    <cellStyle name="Normal 3 2 3 2 2 5 4" xfId="10598" xr:uid="{49B8F534-2CC0-4761-A66F-1FD27F25C36B}"/>
    <cellStyle name="Normal 3 2 3 2 2 5 5" xfId="19046" xr:uid="{C073755D-6C60-4189-BE69-97E59414C96A}"/>
    <cellStyle name="Normal 3 2 3 2 2 6" xfId="2496" xr:uid="{00000000-0005-0000-0000-000091110000}"/>
    <cellStyle name="Normal 3 2 3 2 2 6 2" xfId="6779" xr:uid="{00000000-0005-0000-0000-000092110000}"/>
    <cellStyle name="Normal 3 2 3 2 2 6 2 2" xfId="15229" xr:uid="{0DDF01AA-EA43-4D95-9984-A7A2F24120BD}"/>
    <cellStyle name="Normal 3 2 3 2 2 6 2 3" xfId="23676" xr:uid="{02D1DB4F-AB04-482D-B3FA-A9AABE90C7A8}"/>
    <cellStyle name="Normal 3 2 3 2 2 6 3" xfId="11011" xr:uid="{571E1846-1BB9-409B-B291-A39AE16A172A}"/>
    <cellStyle name="Normal 3 2 3 2 2 6 4" xfId="19459" xr:uid="{6645381E-05C1-483E-8632-6AACE5C9A760}"/>
    <cellStyle name="Normal 3 2 3 2 2 7" xfId="4713" xr:uid="{00000000-0005-0000-0000-000093110000}"/>
    <cellStyle name="Normal 3 2 3 2 2 7 2" xfId="13163" xr:uid="{E8A94980-E9D4-46ED-AF6C-7BDB631F9A44}"/>
    <cellStyle name="Normal 3 2 3 2 2 7 3" xfId="21610" xr:uid="{F966123A-1EDB-4EA4-AA74-41EBF576D07B}"/>
    <cellStyle name="Normal 3 2 3 2 2 8" xfId="8945" xr:uid="{662BA9FB-F7DE-4808-A1C8-8281EC122929}"/>
    <cellStyle name="Normal 3 2 3 2 2 9" xfId="17393" xr:uid="{B3FED3D7-509A-4A6E-9B26-37E7BE940AC1}"/>
    <cellStyle name="Normal 3 2 3 2 3" xfId="812" xr:uid="{00000000-0005-0000-0000-000094110000}"/>
    <cellStyle name="Normal 3 2 3 2 3 2" xfId="3049" xr:uid="{00000000-0005-0000-0000-000095110000}"/>
    <cellStyle name="Normal 3 2 3 2 3 2 2" xfId="7271" xr:uid="{00000000-0005-0000-0000-000096110000}"/>
    <cellStyle name="Normal 3 2 3 2 3 2 2 2" xfId="15721" xr:uid="{9AE91B7E-97B5-4784-A5F0-EC897BBB7660}"/>
    <cellStyle name="Normal 3 2 3 2 3 2 2 3" xfId="24168" xr:uid="{3510257F-BBA9-4CE1-B492-2F72D48B4816}"/>
    <cellStyle name="Normal 3 2 3 2 3 2 3" xfId="11503" xr:uid="{4EA5637C-10B2-4E80-A123-8E76B82C0980}"/>
    <cellStyle name="Normal 3 2 3 2 3 2 4" xfId="19951" xr:uid="{3F732582-1DB3-4FBD-8A2A-D5B8D076C03A}"/>
    <cellStyle name="Normal 3 2 3 2 3 3" xfId="5126" xr:uid="{00000000-0005-0000-0000-000097110000}"/>
    <cellStyle name="Normal 3 2 3 2 3 3 2" xfId="13576" xr:uid="{7D9DB18B-31E8-4C27-A10D-C52A586B7E2A}"/>
    <cellStyle name="Normal 3 2 3 2 3 3 3" xfId="22023" xr:uid="{32C293D1-6856-4C4A-BCE2-5580CD080429}"/>
    <cellStyle name="Normal 3 2 3 2 3 4" xfId="9358" xr:uid="{C8DEB8BC-4BFD-4497-AA62-CFFC69D053D8}"/>
    <cellStyle name="Normal 3 2 3 2 3 5" xfId="17806" xr:uid="{9690C1AA-352D-41AA-87E2-93933531DF3A}"/>
    <cellStyle name="Normal 3 2 3 2 4" xfId="1232" xr:uid="{00000000-0005-0000-0000-000098110000}"/>
    <cellStyle name="Normal 3 2 3 2 4 2" xfId="3462" xr:uid="{00000000-0005-0000-0000-000099110000}"/>
    <cellStyle name="Normal 3 2 3 2 4 2 2" xfId="7684" xr:uid="{00000000-0005-0000-0000-00009A110000}"/>
    <cellStyle name="Normal 3 2 3 2 4 2 2 2" xfId="16134" xr:uid="{9DBE0AEB-D620-4F3F-BF57-162FE251D48F}"/>
    <cellStyle name="Normal 3 2 3 2 4 2 2 3" xfId="24581" xr:uid="{43B675CC-8469-4FF3-80C2-80DBF05C9B43}"/>
    <cellStyle name="Normal 3 2 3 2 4 2 3" xfId="11916" xr:uid="{654E80EC-D8AF-4B64-A8A1-6D74E1689E30}"/>
    <cellStyle name="Normal 3 2 3 2 4 2 4" xfId="20364" xr:uid="{16BAA7C2-6223-42ED-9CD1-43E8A0D601C1}"/>
    <cellStyle name="Normal 3 2 3 2 4 3" xfId="5539" xr:uid="{00000000-0005-0000-0000-00009B110000}"/>
    <cellStyle name="Normal 3 2 3 2 4 3 2" xfId="13989" xr:uid="{119DB47F-35EB-4E3D-BEF7-62FE1CCD134D}"/>
    <cellStyle name="Normal 3 2 3 2 4 3 3" xfId="22436" xr:uid="{112882C7-141F-4FD7-854E-7AA793A18761}"/>
    <cellStyle name="Normal 3 2 3 2 4 4" xfId="9771" xr:uid="{D9220CD7-253A-4E32-B7A7-D4D9CE716BA6}"/>
    <cellStyle name="Normal 3 2 3 2 4 5" xfId="18219" xr:uid="{DD61002D-CB0D-4BB3-B7BE-829B18E35FD9}"/>
    <cellStyle name="Normal 3 2 3 2 5" xfId="1645" xr:uid="{00000000-0005-0000-0000-00009C110000}"/>
    <cellStyle name="Normal 3 2 3 2 5 2" xfId="3875" xr:uid="{00000000-0005-0000-0000-00009D110000}"/>
    <cellStyle name="Normal 3 2 3 2 5 2 2" xfId="8097" xr:uid="{00000000-0005-0000-0000-00009E110000}"/>
    <cellStyle name="Normal 3 2 3 2 5 2 2 2" xfId="16547" xr:uid="{820022AE-222B-4AB0-94D5-2DEB60F8CDD1}"/>
    <cellStyle name="Normal 3 2 3 2 5 2 2 3" xfId="24994" xr:uid="{3D516F8A-0FCE-40C9-9819-D4F0AD4B782D}"/>
    <cellStyle name="Normal 3 2 3 2 5 2 3" xfId="12329" xr:uid="{014D0E24-60B5-4544-98E7-333ABEC131A3}"/>
    <cellStyle name="Normal 3 2 3 2 5 2 4" xfId="20777" xr:uid="{AA9E13B2-46C7-4EDF-AAB7-8C83A5A52A37}"/>
    <cellStyle name="Normal 3 2 3 2 5 3" xfId="5952" xr:uid="{00000000-0005-0000-0000-00009F110000}"/>
    <cellStyle name="Normal 3 2 3 2 5 3 2" xfId="14402" xr:uid="{4797ABC7-77EF-4EC4-BC83-16C49E3B8F27}"/>
    <cellStyle name="Normal 3 2 3 2 5 3 3" xfId="22849" xr:uid="{7D5C9ADB-E310-4585-9AF8-7A114646BEC2}"/>
    <cellStyle name="Normal 3 2 3 2 5 4" xfId="10184" xr:uid="{97E5EF3C-F32F-4D68-8121-97F2766B1E38}"/>
    <cellStyle name="Normal 3 2 3 2 5 5" xfId="18632" xr:uid="{645DB936-D39E-4F78-B30E-F768E648C6BA}"/>
    <cellStyle name="Normal 3 2 3 2 6" xfId="2059" xr:uid="{00000000-0005-0000-0000-0000A0110000}"/>
    <cellStyle name="Normal 3 2 3 2 6 2" xfId="4288" xr:uid="{00000000-0005-0000-0000-0000A1110000}"/>
    <cellStyle name="Normal 3 2 3 2 6 2 2" xfId="8510" xr:uid="{00000000-0005-0000-0000-0000A2110000}"/>
    <cellStyle name="Normal 3 2 3 2 6 2 2 2" xfId="16960" xr:uid="{8E2FB29B-D071-497E-B353-3A3F67B695D0}"/>
    <cellStyle name="Normal 3 2 3 2 6 2 2 3" xfId="25407" xr:uid="{2EBF64BB-AA7C-4D3C-9028-79AFF10D8372}"/>
    <cellStyle name="Normal 3 2 3 2 6 2 3" xfId="12742" xr:uid="{14F10695-8B38-4165-9D49-58E4822B4BED}"/>
    <cellStyle name="Normal 3 2 3 2 6 2 4" xfId="21190" xr:uid="{51198F4F-89C9-4906-8D01-DAB265224F76}"/>
    <cellStyle name="Normal 3 2 3 2 6 3" xfId="6365" xr:uid="{00000000-0005-0000-0000-0000A3110000}"/>
    <cellStyle name="Normal 3 2 3 2 6 3 2" xfId="14815" xr:uid="{C32BA2E4-7389-4D5E-B993-FB8234C69D4F}"/>
    <cellStyle name="Normal 3 2 3 2 6 3 3" xfId="23262" xr:uid="{97F8BF62-6BCC-4521-A5EF-374B44424968}"/>
    <cellStyle name="Normal 3 2 3 2 6 4" xfId="10597" xr:uid="{C47D71F9-9922-4B0A-B382-9D93B14E9F14}"/>
    <cellStyle name="Normal 3 2 3 2 6 5" xfId="19045" xr:uid="{1756A7BC-E1F3-433F-8DAC-2158BF6B7943}"/>
    <cellStyle name="Normal 3 2 3 2 7" xfId="2495" xr:uid="{00000000-0005-0000-0000-0000A4110000}"/>
    <cellStyle name="Normal 3 2 3 2 7 2" xfId="6778" xr:uid="{00000000-0005-0000-0000-0000A5110000}"/>
    <cellStyle name="Normal 3 2 3 2 7 2 2" xfId="15228" xr:uid="{8FE1326D-0347-43F9-8727-7509D70CCC9B}"/>
    <cellStyle name="Normal 3 2 3 2 7 2 3" xfId="23675" xr:uid="{A2D539FC-E64B-4005-8B03-DDF069E13C70}"/>
    <cellStyle name="Normal 3 2 3 2 7 3" xfId="11010" xr:uid="{A801D2AE-C8C3-4D7F-8B11-3B379EDFA879}"/>
    <cellStyle name="Normal 3 2 3 2 7 4" xfId="19458" xr:uid="{0799EA98-8803-4687-B728-B636AF63C167}"/>
    <cellStyle name="Normal 3 2 3 2 8" xfId="4712" xr:uid="{00000000-0005-0000-0000-0000A6110000}"/>
    <cellStyle name="Normal 3 2 3 2 8 2" xfId="13162" xr:uid="{D3C79DDB-4C27-468F-A31B-3117E7A9CBC9}"/>
    <cellStyle name="Normal 3 2 3 2 8 3" xfId="21609" xr:uid="{78B42DBF-3337-49BE-B2DA-D02DF9A03C00}"/>
    <cellStyle name="Normal 3 2 3 2 9" xfId="8944" xr:uid="{F90AE8E0-CE2C-4267-99BD-E26CB1C23396}"/>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2 2 2" xfId="15723" xr:uid="{90F28921-4E81-476D-8D1D-0139E675B675}"/>
    <cellStyle name="Normal 3 2 3 3 2 2 2 3" xfId="24170" xr:uid="{90AFF155-E7DB-4455-8A26-0BF74BC07C25}"/>
    <cellStyle name="Normal 3 2 3 3 2 2 3" xfId="11505" xr:uid="{03DE94AE-D27F-4B90-B026-9B37E02FD7D2}"/>
    <cellStyle name="Normal 3 2 3 3 2 2 4" xfId="19953" xr:uid="{1AC4A347-583E-4470-936C-07BE91094158}"/>
    <cellStyle name="Normal 3 2 3 3 2 3" xfId="5128" xr:uid="{00000000-0005-0000-0000-0000AB110000}"/>
    <cellStyle name="Normal 3 2 3 3 2 3 2" xfId="13578" xr:uid="{AFCAB6B5-0F97-47C2-8919-D2C8A204E433}"/>
    <cellStyle name="Normal 3 2 3 3 2 3 3" xfId="22025" xr:uid="{C3AF6256-8825-4E64-B83E-CCFC23D1B6F6}"/>
    <cellStyle name="Normal 3 2 3 3 2 4" xfId="9360" xr:uid="{FE8A4C3B-947D-4AF2-BC04-A66C92ACA361}"/>
    <cellStyle name="Normal 3 2 3 3 2 5" xfId="17808" xr:uid="{38073342-14ED-4C4D-B2BB-21149F24509C}"/>
    <cellStyle name="Normal 3 2 3 3 3" xfId="1234" xr:uid="{00000000-0005-0000-0000-0000AC110000}"/>
    <cellStyle name="Normal 3 2 3 3 3 2" xfId="3464" xr:uid="{00000000-0005-0000-0000-0000AD110000}"/>
    <cellStyle name="Normal 3 2 3 3 3 2 2" xfId="7686" xr:uid="{00000000-0005-0000-0000-0000AE110000}"/>
    <cellStyle name="Normal 3 2 3 3 3 2 2 2" xfId="16136" xr:uid="{345B85BB-D839-4B77-A324-8EBA16DE944F}"/>
    <cellStyle name="Normal 3 2 3 3 3 2 2 3" xfId="24583" xr:uid="{7EC34A90-CEAA-4B60-9F50-25F08CAED847}"/>
    <cellStyle name="Normal 3 2 3 3 3 2 3" xfId="11918" xr:uid="{AED5B48B-88C7-483E-B020-E46EF4B40EA3}"/>
    <cellStyle name="Normal 3 2 3 3 3 2 4" xfId="20366" xr:uid="{599CB468-5E6E-4F60-A908-2B90A70B9C3D}"/>
    <cellStyle name="Normal 3 2 3 3 3 3" xfId="5541" xr:uid="{00000000-0005-0000-0000-0000AF110000}"/>
    <cellStyle name="Normal 3 2 3 3 3 3 2" xfId="13991" xr:uid="{A632672C-876B-4B2A-BFA9-E568C8895FC2}"/>
    <cellStyle name="Normal 3 2 3 3 3 3 3" xfId="22438" xr:uid="{BD9D2936-F431-48D2-9F66-6351D4684CA4}"/>
    <cellStyle name="Normal 3 2 3 3 3 4" xfId="9773" xr:uid="{EA04D191-8C1B-4A4A-8956-ABC14A42E7A3}"/>
    <cellStyle name="Normal 3 2 3 3 3 5" xfId="18221" xr:uid="{31502D94-36B8-48A6-B097-18E526029C1F}"/>
    <cellStyle name="Normal 3 2 3 3 4" xfId="1647" xr:uid="{00000000-0005-0000-0000-0000B0110000}"/>
    <cellStyle name="Normal 3 2 3 3 4 2" xfId="3877" xr:uid="{00000000-0005-0000-0000-0000B1110000}"/>
    <cellStyle name="Normal 3 2 3 3 4 2 2" xfId="8099" xr:uid="{00000000-0005-0000-0000-0000B2110000}"/>
    <cellStyle name="Normal 3 2 3 3 4 2 2 2" xfId="16549" xr:uid="{9078A6F1-2F38-4B75-9E13-C6F6E65FB077}"/>
    <cellStyle name="Normal 3 2 3 3 4 2 2 3" xfId="24996" xr:uid="{C87EFBE1-E6FC-4BCB-B196-2BF26852EF0A}"/>
    <cellStyle name="Normal 3 2 3 3 4 2 3" xfId="12331" xr:uid="{81EBFA3A-FCF2-4909-AE1B-D8ABEB38AFFF}"/>
    <cellStyle name="Normal 3 2 3 3 4 2 4" xfId="20779" xr:uid="{90DE8949-22A1-4543-BD0C-24CF4B7B418A}"/>
    <cellStyle name="Normal 3 2 3 3 4 3" xfId="5954" xr:uid="{00000000-0005-0000-0000-0000B3110000}"/>
    <cellStyle name="Normal 3 2 3 3 4 3 2" xfId="14404" xr:uid="{83AA8839-84FD-4E39-B9CC-C246413F5A62}"/>
    <cellStyle name="Normal 3 2 3 3 4 3 3" xfId="22851" xr:uid="{A39C7D1F-35DC-4583-AC3F-6DA300305EF1}"/>
    <cellStyle name="Normal 3 2 3 3 4 4" xfId="10186" xr:uid="{CE1AEA95-2B92-465D-9E67-DA409B5BD281}"/>
    <cellStyle name="Normal 3 2 3 3 4 5" xfId="18634" xr:uid="{C2A37D18-F653-469E-924A-48E8A09BE715}"/>
    <cellStyle name="Normal 3 2 3 3 5" xfId="2061" xr:uid="{00000000-0005-0000-0000-0000B4110000}"/>
    <cellStyle name="Normal 3 2 3 3 5 2" xfId="4290" xr:uid="{00000000-0005-0000-0000-0000B5110000}"/>
    <cellStyle name="Normal 3 2 3 3 5 2 2" xfId="8512" xr:uid="{00000000-0005-0000-0000-0000B6110000}"/>
    <cellStyle name="Normal 3 2 3 3 5 2 2 2" xfId="16962" xr:uid="{13129127-EDB0-4361-B603-303AFE93C1E2}"/>
    <cellStyle name="Normal 3 2 3 3 5 2 2 3" xfId="25409" xr:uid="{2340A4DA-75EF-477E-9DBC-CA9D4F5311AE}"/>
    <cellStyle name="Normal 3 2 3 3 5 2 3" xfId="12744" xr:uid="{EF51918F-6B85-4F1C-B10E-43C45FF4DFC9}"/>
    <cellStyle name="Normal 3 2 3 3 5 2 4" xfId="21192" xr:uid="{7B2A87DC-2A37-4EFE-A413-C0E4EBCE0126}"/>
    <cellStyle name="Normal 3 2 3 3 5 3" xfId="6367" xr:uid="{00000000-0005-0000-0000-0000B7110000}"/>
    <cellStyle name="Normal 3 2 3 3 5 3 2" xfId="14817" xr:uid="{ADC0CDE7-26CB-4F1A-B638-1E7AF0FB64DA}"/>
    <cellStyle name="Normal 3 2 3 3 5 3 3" xfId="23264" xr:uid="{6B00437E-4024-4E0D-848A-EF2607911A15}"/>
    <cellStyle name="Normal 3 2 3 3 5 4" xfId="10599" xr:uid="{AD77CED6-D07F-4F47-9876-105745AF37A8}"/>
    <cellStyle name="Normal 3 2 3 3 5 5" xfId="19047" xr:uid="{92537B45-8A6E-477B-BB58-9DF0EFAF74A4}"/>
    <cellStyle name="Normal 3 2 3 3 6" xfId="2497" xr:uid="{00000000-0005-0000-0000-0000B8110000}"/>
    <cellStyle name="Normal 3 2 3 3 6 2" xfId="6780" xr:uid="{00000000-0005-0000-0000-0000B9110000}"/>
    <cellStyle name="Normal 3 2 3 3 6 2 2" xfId="15230" xr:uid="{F4FF62B4-9862-4862-B5D1-C73AD6C14232}"/>
    <cellStyle name="Normal 3 2 3 3 6 2 3" xfId="23677" xr:uid="{41B31E50-191A-41EF-8934-65660B120A1A}"/>
    <cellStyle name="Normal 3 2 3 3 6 3" xfId="11012" xr:uid="{1CD5E97C-7014-418C-B344-67719D2F6844}"/>
    <cellStyle name="Normal 3 2 3 3 6 4" xfId="19460" xr:uid="{21CDED82-EDD7-4BB3-B379-01F43BBD598A}"/>
    <cellStyle name="Normal 3 2 3 3 7" xfId="4714" xr:uid="{00000000-0005-0000-0000-0000BA110000}"/>
    <cellStyle name="Normal 3 2 3 3 7 2" xfId="13164" xr:uid="{33DBF2A8-4E4D-43DA-A27E-691674F810D5}"/>
    <cellStyle name="Normal 3 2 3 3 7 3" xfId="21611" xr:uid="{448C6166-F315-4A00-86EA-166339E3611F}"/>
    <cellStyle name="Normal 3 2 3 3 8" xfId="8946" xr:uid="{E6C19F1A-42D0-4561-94EE-BA6EDAD1451B}"/>
    <cellStyle name="Normal 3 2 3 3 9" xfId="17394" xr:uid="{1A0CAB7C-C7E9-484C-9DB7-7827344CFAB5}"/>
    <cellStyle name="Normal 3 2 3 4" xfId="811" xr:uid="{00000000-0005-0000-0000-0000BB110000}"/>
    <cellStyle name="Normal 3 2 3 4 2" xfId="3048" xr:uid="{00000000-0005-0000-0000-0000BC110000}"/>
    <cellStyle name="Normal 3 2 3 4 2 2" xfId="7270" xr:uid="{00000000-0005-0000-0000-0000BD110000}"/>
    <cellStyle name="Normal 3 2 3 4 2 2 2" xfId="15720" xr:uid="{42C45D71-71AF-4FB3-81D2-C2752160F048}"/>
    <cellStyle name="Normal 3 2 3 4 2 2 3" xfId="24167" xr:uid="{0FC54320-0AB8-4D99-85E6-D1C1FAA7B627}"/>
    <cellStyle name="Normal 3 2 3 4 2 3" xfId="11502" xr:uid="{214FEB7D-197F-4A87-93A0-313C8669BDEE}"/>
    <cellStyle name="Normal 3 2 3 4 2 4" xfId="19950" xr:uid="{A3010A15-CEDA-455F-9912-1F38CC3D120C}"/>
    <cellStyle name="Normal 3 2 3 4 3" xfId="5125" xr:uid="{00000000-0005-0000-0000-0000BE110000}"/>
    <cellStyle name="Normal 3 2 3 4 3 2" xfId="13575" xr:uid="{93A709C2-66CF-4787-A761-42A55635C305}"/>
    <cellStyle name="Normal 3 2 3 4 3 3" xfId="22022" xr:uid="{C6DE0F99-F1FB-4674-A6F8-122C60B7B4C3}"/>
    <cellStyle name="Normal 3 2 3 4 4" xfId="9357" xr:uid="{31DFE52D-8E56-482C-9E7C-1FE6A50DC145}"/>
    <cellStyle name="Normal 3 2 3 4 5" xfId="17805" xr:uid="{71BFA904-73BC-4C52-8D37-0BE51BC5AA81}"/>
    <cellStyle name="Normal 3 2 3 5" xfId="1231" xr:uid="{00000000-0005-0000-0000-0000BF110000}"/>
    <cellStyle name="Normal 3 2 3 5 2" xfId="3461" xr:uid="{00000000-0005-0000-0000-0000C0110000}"/>
    <cellStyle name="Normal 3 2 3 5 2 2" xfId="7683" xr:uid="{00000000-0005-0000-0000-0000C1110000}"/>
    <cellStyle name="Normal 3 2 3 5 2 2 2" xfId="16133" xr:uid="{DDCF5DA2-3A46-44B3-9E02-D27F8FFDF1ED}"/>
    <cellStyle name="Normal 3 2 3 5 2 2 3" xfId="24580" xr:uid="{80B907A3-DA33-4D99-AD40-D4B9F204C794}"/>
    <cellStyle name="Normal 3 2 3 5 2 3" xfId="11915" xr:uid="{D14316A1-37C6-4F8E-AD6B-50E741E07083}"/>
    <cellStyle name="Normal 3 2 3 5 2 4" xfId="20363" xr:uid="{F0357C9B-B76D-47FE-9D2A-723FB347830B}"/>
    <cellStyle name="Normal 3 2 3 5 3" xfId="5538" xr:uid="{00000000-0005-0000-0000-0000C2110000}"/>
    <cellStyle name="Normal 3 2 3 5 3 2" xfId="13988" xr:uid="{4B32CC07-7DB3-47E1-900A-259C51C6AE74}"/>
    <cellStyle name="Normal 3 2 3 5 3 3" xfId="22435" xr:uid="{E5EC609F-8DDC-4408-BF72-FC5EAA66EFA4}"/>
    <cellStyle name="Normal 3 2 3 5 4" xfId="9770" xr:uid="{4B8CD697-C28C-4E3A-8D16-F4C1B4851A34}"/>
    <cellStyle name="Normal 3 2 3 5 5" xfId="18218" xr:uid="{AF6BBA35-2C7A-45F1-9ED9-516CA6E9713F}"/>
    <cellStyle name="Normal 3 2 3 6" xfId="1644" xr:uid="{00000000-0005-0000-0000-0000C3110000}"/>
    <cellStyle name="Normal 3 2 3 6 2" xfId="3874" xr:uid="{00000000-0005-0000-0000-0000C4110000}"/>
    <cellStyle name="Normal 3 2 3 6 2 2" xfId="8096" xr:uid="{00000000-0005-0000-0000-0000C5110000}"/>
    <cellStyle name="Normal 3 2 3 6 2 2 2" xfId="16546" xr:uid="{DB71A9B8-BDB2-4F07-8C8C-491C0A50A545}"/>
    <cellStyle name="Normal 3 2 3 6 2 2 3" xfId="24993" xr:uid="{E5737109-623E-4DD4-9FF7-0F2CD0A5E032}"/>
    <cellStyle name="Normal 3 2 3 6 2 3" xfId="12328" xr:uid="{3F1AA541-D24E-4481-B28A-26BE45C1C0F5}"/>
    <cellStyle name="Normal 3 2 3 6 2 4" xfId="20776" xr:uid="{B1BE4B9D-810F-4CBD-A1A3-AA645AA46201}"/>
    <cellStyle name="Normal 3 2 3 6 3" xfId="5951" xr:uid="{00000000-0005-0000-0000-0000C6110000}"/>
    <cellStyle name="Normal 3 2 3 6 3 2" xfId="14401" xr:uid="{A90AC7CF-79AE-4514-A43E-4E481272C3D1}"/>
    <cellStyle name="Normal 3 2 3 6 3 3" xfId="22848" xr:uid="{9F8740A9-5605-4EC1-9B86-314A3B5B0CC2}"/>
    <cellStyle name="Normal 3 2 3 6 4" xfId="10183" xr:uid="{C60AD0DE-F2BD-442A-80B2-B7DD734354FE}"/>
    <cellStyle name="Normal 3 2 3 6 5" xfId="18631" xr:uid="{54406F94-BDB2-4B83-BEC0-0EC3B6A55164}"/>
    <cellStyle name="Normal 3 2 3 7" xfId="2058" xr:uid="{00000000-0005-0000-0000-0000C7110000}"/>
    <cellStyle name="Normal 3 2 3 7 2" xfId="4287" xr:uid="{00000000-0005-0000-0000-0000C8110000}"/>
    <cellStyle name="Normal 3 2 3 7 2 2" xfId="8509" xr:uid="{00000000-0005-0000-0000-0000C9110000}"/>
    <cellStyle name="Normal 3 2 3 7 2 2 2" xfId="16959" xr:uid="{F86B6023-26E4-4FE3-89AF-2D28824E929A}"/>
    <cellStyle name="Normal 3 2 3 7 2 2 3" xfId="25406" xr:uid="{D0459E86-D615-4CC5-BDDB-864B19D320AC}"/>
    <cellStyle name="Normal 3 2 3 7 2 3" xfId="12741" xr:uid="{7A6B8158-6199-4B49-8331-CDEEF62EA82C}"/>
    <cellStyle name="Normal 3 2 3 7 2 4" xfId="21189" xr:uid="{09630F02-2776-4952-9B29-FE90394A40D4}"/>
    <cellStyle name="Normal 3 2 3 7 3" xfId="6364" xr:uid="{00000000-0005-0000-0000-0000CA110000}"/>
    <cellStyle name="Normal 3 2 3 7 3 2" xfId="14814" xr:uid="{E31F8703-69FC-41FD-83D3-5095EA65776B}"/>
    <cellStyle name="Normal 3 2 3 7 3 3" xfId="23261" xr:uid="{9C7FBC68-794F-426F-ABB6-6F8C35B6B1F6}"/>
    <cellStyle name="Normal 3 2 3 7 4" xfId="10596" xr:uid="{F4086DF6-DC3C-4C23-99E1-0F3DA5426B59}"/>
    <cellStyle name="Normal 3 2 3 7 5" xfId="19044" xr:uid="{D1E6C7B0-6A26-4628-95D4-16753F37ADCA}"/>
    <cellStyle name="Normal 3 2 3 8" xfId="2494" xr:uid="{00000000-0005-0000-0000-0000CB110000}"/>
    <cellStyle name="Normal 3 2 3 8 2" xfId="6777" xr:uid="{00000000-0005-0000-0000-0000CC110000}"/>
    <cellStyle name="Normal 3 2 3 8 2 2" xfId="15227" xr:uid="{D1F43ECF-8918-4F96-84F0-034FED600A22}"/>
    <cellStyle name="Normal 3 2 3 8 2 3" xfId="23674" xr:uid="{85D77AA1-E1A8-4A77-A73C-738DA464E708}"/>
    <cellStyle name="Normal 3 2 3 8 3" xfId="11009" xr:uid="{7C1EC91B-4F70-4619-9CB9-A517C93B7D92}"/>
    <cellStyle name="Normal 3 2 3 8 4" xfId="19457" xr:uid="{6BD575E3-4690-461F-A0C3-C678E6D2A33E}"/>
    <cellStyle name="Normal 3 2 3 9" xfId="4711" xr:uid="{00000000-0005-0000-0000-0000CD110000}"/>
    <cellStyle name="Normal 3 2 3 9 2" xfId="13161" xr:uid="{297DD879-B399-45AA-BA99-261A6955ACCD}"/>
    <cellStyle name="Normal 3 2 3 9 3" xfId="21608" xr:uid="{1A5FF903-22CD-411D-819C-5231FE6EBA89}"/>
    <cellStyle name="Normal 3 2 4" xfId="809" xr:uid="{00000000-0005-0000-0000-0000CE110000}"/>
    <cellStyle name="Normal 3 2 4 2" xfId="3047" xr:uid="{00000000-0005-0000-0000-0000CF110000}"/>
    <cellStyle name="Normal 3 2 4 2 2" xfId="7269" xr:uid="{00000000-0005-0000-0000-0000D0110000}"/>
    <cellStyle name="Normal 3 2 4 2 2 2" xfId="15719" xr:uid="{580CE220-56E7-459C-8266-DD9701A04C3B}"/>
    <cellStyle name="Normal 3 2 4 2 2 3" xfId="24166" xr:uid="{1F6C6584-BFF7-4F50-A010-74B6668E10D9}"/>
    <cellStyle name="Normal 3 2 4 2 3" xfId="11501" xr:uid="{C463E110-BA07-4554-B430-7FDF19A5DA9A}"/>
    <cellStyle name="Normal 3 2 4 2 4" xfId="19949" xr:uid="{E286A22C-0A9F-4078-89BD-2D1229259535}"/>
    <cellStyle name="Normal 3 2 4 3" xfId="5124" xr:uid="{00000000-0005-0000-0000-0000D1110000}"/>
    <cellStyle name="Normal 3 2 4 3 2" xfId="13574" xr:uid="{521CDDBC-9439-4814-903D-EF0D5B5C3884}"/>
    <cellStyle name="Normal 3 2 4 3 3" xfId="22021" xr:uid="{A0610AE6-2E34-4148-8735-888010FDD3EC}"/>
    <cellStyle name="Normal 3 2 4 4" xfId="9356" xr:uid="{4D264D6E-8A21-48FD-8C3C-C4CC22F4EE7E}"/>
    <cellStyle name="Normal 3 2 4 5" xfId="17804" xr:uid="{1DE4D5D3-94CF-4AA3-83D1-25A8ADA55D5F}"/>
    <cellStyle name="Normal 3 2 5" xfId="1230" xr:uid="{00000000-0005-0000-0000-0000D2110000}"/>
    <cellStyle name="Normal 3 2 5 2" xfId="3460" xr:uid="{00000000-0005-0000-0000-0000D3110000}"/>
    <cellStyle name="Normal 3 2 5 2 2" xfId="7682" xr:uid="{00000000-0005-0000-0000-0000D4110000}"/>
    <cellStyle name="Normal 3 2 5 2 2 2" xfId="16132" xr:uid="{DEF86D10-22B1-4356-9073-11D9C3B37B9F}"/>
    <cellStyle name="Normal 3 2 5 2 2 3" xfId="24579" xr:uid="{BE7531D3-FA8F-4DD0-98FE-921A864ED54C}"/>
    <cellStyle name="Normal 3 2 5 2 3" xfId="11914" xr:uid="{4C6B7366-5BAA-4210-9D6B-FCF3EDB51F94}"/>
    <cellStyle name="Normal 3 2 5 2 4" xfId="20362" xr:uid="{F57F30D6-E522-4E1A-8887-1051661A01FC}"/>
    <cellStyle name="Normal 3 2 5 3" xfId="5537" xr:uid="{00000000-0005-0000-0000-0000D5110000}"/>
    <cellStyle name="Normal 3 2 5 3 2" xfId="13987" xr:uid="{B169577A-B2DC-4052-85F6-8BDE188364AE}"/>
    <cellStyle name="Normal 3 2 5 3 3" xfId="22434" xr:uid="{DD7ECCEF-AA3B-47E6-9F11-62C1893B3268}"/>
    <cellStyle name="Normal 3 2 5 4" xfId="9769" xr:uid="{6DA926B7-4CAA-4CC6-8DA4-C123B63BF80F}"/>
    <cellStyle name="Normal 3 2 5 5" xfId="18217" xr:uid="{EDDBBCD0-5417-4915-9ED7-EE53C1E39BAE}"/>
    <cellStyle name="Normal 3 2 6" xfId="1643" xr:uid="{00000000-0005-0000-0000-0000D6110000}"/>
    <cellStyle name="Normal 3 2 6 2" xfId="3873" xr:uid="{00000000-0005-0000-0000-0000D7110000}"/>
    <cellStyle name="Normal 3 2 6 2 2" xfId="8095" xr:uid="{00000000-0005-0000-0000-0000D8110000}"/>
    <cellStyle name="Normal 3 2 6 2 2 2" xfId="16545" xr:uid="{0C80DC47-2C99-4F37-8419-DF1AF55F4C5D}"/>
    <cellStyle name="Normal 3 2 6 2 2 3" xfId="24992" xr:uid="{797F8801-A256-443D-BD3D-3671D79C1845}"/>
    <cellStyle name="Normal 3 2 6 2 3" xfId="12327" xr:uid="{D64AF04F-80FD-4350-A345-A68A41951CEC}"/>
    <cellStyle name="Normal 3 2 6 2 4" xfId="20775" xr:uid="{73C0F7B9-6F49-49C5-97B8-23F9EA042737}"/>
    <cellStyle name="Normal 3 2 6 3" xfId="5950" xr:uid="{00000000-0005-0000-0000-0000D9110000}"/>
    <cellStyle name="Normal 3 2 6 3 2" xfId="14400" xr:uid="{E9D2C88D-2A0C-4BF6-854F-B7CADFD26A87}"/>
    <cellStyle name="Normal 3 2 6 3 3" xfId="22847" xr:uid="{8515FCC2-8A3B-4E3F-A8CC-9CFBB2D7A6B7}"/>
    <cellStyle name="Normal 3 2 6 4" xfId="10182" xr:uid="{1FA95C42-0BA4-4C54-BED4-AD39EEB5CA15}"/>
    <cellStyle name="Normal 3 2 6 5" xfId="18630" xr:uid="{9C0B974F-8B49-436B-BFCD-F1F73B1154B6}"/>
    <cellStyle name="Normal 3 2 7" xfId="2057" xr:uid="{00000000-0005-0000-0000-0000DA110000}"/>
    <cellStyle name="Normal 3 2 7 2" xfId="4286" xr:uid="{00000000-0005-0000-0000-0000DB110000}"/>
    <cellStyle name="Normal 3 2 7 2 2" xfId="8508" xr:uid="{00000000-0005-0000-0000-0000DC110000}"/>
    <cellStyle name="Normal 3 2 7 2 2 2" xfId="16958" xr:uid="{07717433-2454-40C7-B926-CD7C2247402D}"/>
    <cellStyle name="Normal 3 2 7 2 2 3" xfId="25405" xr:uid="{31056EBF-3B14-42B3-9FA6-5B6628DE53F5}"/>
    <cellStyle name="Normal 3 2 7 2 3" xfId="12740" xr:uid="{22FF91E5-D503-4643-8D9F-D8924962F209}"/>
    <cellStyle name="Normal 3 2 7 2 4" xfId="21188" xr:uid="{9899022D-15BE-457D-A5BB-2069F8564A19}"/>
    <cellStyle name="Normal 3 2 7 3" xfId="6363" xr:uid="{00000000-0005-0000-0000-0000DD110000}"/>
    <cellStyle name="Normal 3 2 7 3 2" xfId="14813" xr:uid="{CDC03BED-94F1-4D4C-9DE1-C3C75A2DE223}"/>
    <cellStyle name="Normal 3 2 7 3 3" xfId="23260" xr:uid="{2BF0C568-0BE8-475F-B276-C3D5DE8FF7FE}"/>
    <cellStyle name="Normal 3 2 7 4" xfId="10595" xr:uid="{1DAFCD44-B127-43D5-B0DB-A1759A622054}"/>
    <cellStyle name="Normal 3 2 7 5" xfId="19043" xr:uid="{DF115567-A2EF-4221-8A3B-3C0997E81674}"/>
    <cellStyle name="Normal 3 2 8" xfId="2493" xr:uid="{00000000-0005-0000-0000-0000DE110000}"/>
    <cellStyle name="Normal 3 2 8 2" xfId="6776" xr:uid="{00000000-0005-0000-0000-0000DF110000}"/>
    <cellStyle name="Normal 3 2 8 2 2" xfId="15226" xr:uid="{F2723E5D-688D-463F-860C-438A40847729}"/>
    <cellStyle name="Normal 3 2 8 2 3" xfId="23673" xr:uid="{3453D10F-F67A-46FC-830C-92ED8D8CAD14}"/>
    <cellStyle name="Normal 3 2 8 3" xfId="11008" xr:uid="{E0C07032-2142-47A3-A289-1FBA1B445B34}"/>
    <cellStyle name="Normal 3 2 8 4" xfId="19456" xr:uid="{541E3C35-A911-4B83-AD68-6DE3DB6605E1}"/>
    <cellStyle name="Normal 3 2 9" xfId="4710" xr:uid="{00000000-0005-0000-0000-0000E0110000}"/>
    <cellStyle name="Normal 3 2 9 2" xfId="13160" xr:uid="{12D8B1CC-BB3F-49A1-BE5F-56DEA5764761}"/>
    <cellStyle name="Normal 3 2 9 3" xfId="21607" xr:uid="{F7F096D4-F802-4B11-92B5-255794023D45}"/>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7" xr:uid="{94D0310F-A191-4C92-BEA7-3B66F9A2F5F7}"/>
    <cellStyle name="Normal 4 11" xfId="17395" xr:uid="{56929F02-FCDC-49EC-BEAB-A12CBBC0B80D}"/>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2 2 2" xfId="16963" xr:uid="{E4D069BC-6900-440E-9838-F6987E258C7A}"/>
    <cellStyle name="Normal 4 2 2 10 2 2 3" xfId="25410" xr:uid="{967D1EA8-4BCB-47B2-B9F8-1BE5A6BE6EDF}"/>
    <cellStyle name="Normal 4 2 2 10 2 3" xfId="12745" xr:uid="{D62C2642-1659-44EE-964E-D2E3F8F6A8A4}"/>
    <cellStyle name="Normal 4 2 2 10 2 4" xfId="21193" xr:uid="{51F96E94-6D6C-41FE-AFBC-D439DD790A26}"/>
    <cellStyle name="Normal 4 2 2 10 3" xfId="6368" xr:uid="{00000000-0005-0000-0000-0000ED110000}"/>
    <cellStyle name="Normal 4 2 2 10 3 2" xfId="14818" xr:uid="{F0F69D33-CF09-43E8-A082-B4C3E3798683}"/>
    <cellStyle name="Normal 4 2 2 10 3 3" xfId="23265" xr:uid="{27C60EFF-30CD-4BE2-A40B-78A8CABBF482}"/>
    <cellStyle name="Normal 4 2 2 10 4" xfId="10600" xr:uid="{5FBF6320-58BE-48DC-946F-9CF01D902C8C}"/>
    <cellStyle name="Normal 4 2 2 10 5" xfId="19048" xr:uid="{EA7C3812-F974-46C2-9358-6477119027A5}"/>
    <cellStyle name="Normal 4 2 2 11" xfId="2498" xr:uid="{00000000-0005-0000-0000-0000EE110000}"/>
    <cellStyle name="Normal 4 2 2 11 2" xfId="6781" xr:uid="{00000000-0005-0000-0000-0000EF110000}"/>
    <cellStyle name="Normal 4 2 2 11 2 2" xfId="15231" xr:uid="{DDADBAA6-D5C8-4AD5-A2FC-748E13511C99}"/>
    <cellStyle name="Normal 4 2 2 11 2 3" xfId="23678" xr:uid="{90FBF22F-805C-434D-986E-565DEAF461DF}"/>
    <cellStyle name="Normal 4 2 2 11 3" xfId="11013" xr:uid="{66CB92A8-2C8E-4D31-B78F-2FCEB8B5E719}"/>
    <cellStyle name="Normal 4 2 2 11 4" xfId="19461" xr:uid="{FD3CDB34-B329-4713-A5AD-2FA354E6973F}"/>
    <cellStyle name="Normal 4 2 2 12" xfId="4716" xr:uid="{00000000-0005-0000-0000-0000F0110000}"/>
    <cellStyle name="Normal 4 2 2 12 2" xfId="13166" xr:uid="{CF273716-21C6-4DE0-9241-EE4F521C6FDA}"/>
    <cellStyle name="Normal 4 2 2 12 3" xfId="21613" xr:uid="{4726E271-1B5A-43E1-9939-0FCB7DC87781}"/>
    <cellStyle name="Normal 4 2 2 13" xfId="8948" xr:uid="{8E6FB12C-14F5-49F1-9240-B1E04EAD992B}"/>
    <cellStyle name="Normal 4 2 2 14" xfId="17396" xr:uid="{66D90448-98C1-4644-931B-6309F066175E}"/>
    <cellStyle name="Normal 4 2 2 2" xfId="338" xr:uid="{00000000-0005-0000-0000-0000F1110000}"/>
    <cellStyle name="Normal 4 2 2 3" xfId="339" xr:uid="{00000000-0005-0000-0000-0000F2110000}"/>
    <cellStyle name="Normal 4 2 2 3 10" xfId="4717" xr:uid="{00000000-0005-0000-0000-0000F3110000}"/>
    <cellStyle name="Normal 4 2 2 3 10 2" xfId="13167" xr:uid="{A4E612A3-1D57-46D4-8092-B5236902E1F8}"/>
    <cellStyle name="Normal 4 2 2 3 10 3" xfId="21614" xr:uid="{0BA42751-F7D9-44D7-BDEA-71FB123EC8B8}"/>
    <cellStyle name="Normal 4 2 2 3 11" xfId="8949" xr:uid="{AB692251-2CD1-4BF9-9041-E64F8279B36D}"/>
    <cellStyle name="Normal 4 2 2 3 12" xfId="17397" xr:uid="{1840BD85-10C7-46B5-8340-604076EE9BF3}"/>
    <cellStyle name="Normal 4 2 2 3 2" xfId="340" xr:uid="{00000000-0005-0000-0000-0000F4110000}"/>
    <cellStyle name="Normal 4 2 2 3 2 10" xfId="8950" xr:uid="{ACE5B57E-9EBF-475E-B18F-7BCDA358D0FD}"/>
    <cellStyle name="Normal 4 2 2 3 2 11" xfId="17398" xr:uid="{649B8E5F-9D11-4D0B-A095-7B34432C5848}"/>
    <cellStyle name="Normal 4 2 2 3 2 2" xfId="341" xr:uid="{00000000-0005-0000-0000-0000F5110000}"/>
    <cellStyle name="Normal 4 2 2 3 2 2 10" xfId="17399" xr:uid="{0C1FD5CA-0B6B-47B7-93C2-4825749F3B5F}"/>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2 2 2" xfId="15728" xr:uid="{C35FF22A-D73E-4B61-8988-C272D2136B94}"/>
    <cellStyle name="Normal 4 2 2 3 2 2 2 2 2 2 3" xfId="24175" xr:uid="{6F732D9F-8E93-467E-B49F-6BE8396977EB}"/>
    <cellStyle name="Normal 4 2 2 3 2 2 2 2 2 3" xfId="11510" xr:uid="{D7366FC7-188F-4B48-8C84-7122D79BE76E}"/>
    <cellStyle name="Normal 4 2 2 3 2 2 2 2 2 4" xfId="19958" xr:uid="{E482B057-991E-4D24-A8F3-A7B0A9BE3857}"/>
    <cellStyle name="Normal 4 2 2 3 2 2 2 2 3" xfId="5133" xr:uid="{00000000-0005-0000-0000-0000FA110000}"/>
    <cellStyle name="Normal 4 2 2 3 2 2 2 2 3 2" xfId="13583" xr:uid="{9C57D782-A164-4AA4-B526-0F6D1D8DD950}"/>
    <cellStyle name="Normal 4 2 2 3 2 2 2 2 3 3" xfId="22030" xr:uid="{3B0111C2-022B-479D-96A9-DFAC0BBBFADC}"/>
    <cellStyle name="Normal 4 2 2 3 2 2 2 2 4" xfId="9365" xr:uid="{A22ED791-ECFA-40CD-9834-73A250905C67}"/>
    <cellStyle name="Normal 4 2 2 3 2 2 2 2 5" xfId="17813" xr:uid="{F4F44455-4279-4D01-8CED-3587FCF79B3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2 2 2" xfId="16141" xr:uid="{550D8319-FFE2-411B-8F74-8249ACD6AD26}"/>
    <cellStyle name="Normal 4 2 2 3 2 2 2 3 2 2 3" xfId="24588" xr:uid="{98B25365-4C86-428A-BD34-FE2A61974613}"/>
    <cellStyle name="Normal 4 2 2 3 2 2 2 3 2 3" xfId="11923" xr:uid="{E20CD014-CE97-4CA6-9DCA-378D929430B0}"/>
    <cellStyle name="Normal 4 2 2 3 2 2 2 3 2 4" xfId="20371" xr:uid="{711814A3-362D-4B53-8A80-5F7B3AA8E41B}"/>
    <cellStyle name="Normal 4 2 2 3 2 2 2 3 3" xfId="5546" xr:uid="{00000000-0005-0000-0000-0000FE110000}"/>
    <cellStyle name="Normal 4 2 2 3 2 2 2 3 3 2" xfId="13996" xr:uid="{E73D05C3-11BC-4D17-96BC-7564D0DDDAB5}"/>
    <cellStyle name="Normal 4 2 2 3 2 2 2 3 3 3" xfId="22443" xr:uid="{4FD5430A-8891-4160-9376-2CC708846397}"/>
    <cellStyle name="Normal 4 2 2 3 2 2 2 3 4" xfId="9778" xr:uid="{58F59E87-F88C-4435-8C68-14B7DA957868}"/>
    <cellStyle name="Normal 4 2 2 3 2 2 2 3 5" xfId="18226" xr:uid="{B3D77EB3-A341-443B-835F-78DDB50F682D}"/>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2 2 2" xfId="16554" xr:uid="{821D6154-35A8-4213-BAE2-77F3D153AFA6}"/>
    <cellStyle name="Normal 4 2 2 3 2 2 2 4 2 2 3" xfId="25001" xr:uid="{3307D1FE-00D5-4F3F-BBBB-9780EECF8ACB}"/>
    <cellStyle name="Normal 4 2 2 3 2 2 2 4 2 3" xfId="12336" xr:uid="{E6C84A67-1605-4DCB-832F-F708B83CF33A}"/>
    <cellStyle name="Normal 4 2 2 3 2 2 2 4 2 4" xfId="20784" xr:uid="{02B13773-C8FF-4187-A7B3-1E4D206386F5}"/>
    <cellStyle name="Normal 4 2 2 3 2 2 2 4 3" xfId="5959" xr:uid="{00000000-0005-0000-0000-000002120000}"/>
    <cellStyle name="Normal 4 2 2 3 2 2 2 4 3 2" xfId="14409" xr:uid="{765686C3-05B0-4168-9CA6-EEA07D3FBAE0}"/>
    <cellStyle name="Normal 4 2 2 3 2 2 2 4 3 3" xfId="22856" xr:uid="{AB601E55-86A7-4E90-8DF6-8FEC91B25177}"/>
    <cellStyle name="Normal 4 2 2 3 2 2 2 4 4" xfId="10191" xr:uid="{2CA7BC5E-B02C-4539-8195-1F7F0B9FC1A9}"/>
    <cellStyle name="Normal 4 2 2 3 2 2 2 4 5" xfId="18639" xr:uid="{1B486807-5EF9-4AFD-8B66-CF19AFC01843}"/>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2 2 2" xfId="16967" xr:uid="{8D47DA54-3587-4350-B333-63FC6F78260F}"/>
    <cellStyle name="Normal 4 2 2 3 2 2 2 5 2 2 3" xfId="25414" xr:uid="{714FB210-9769-475A-8F29-4A17EDFC87EA}"/>
    <cellStyle name="Normal 4 2 2 3 2 2 2 5 2 3" xfId="12749" xr:uid="{228E5422-31FA-415E-A3EE-23C185348A5C}"/>
    <cellStyle name="Normal 4 2 2 3 2 2 2 5 2 4" xfId="21197" xr:uid="{4AB9A9AB-D34E-4A9D-99AA-6D50370807A8}"/>
    <cellStyle name="Normal 4 2 2 3 2 2 2 5 3" xfId="6372" xr:uid="{00000000-0005-0000-0000-000006120000}"/>
    <cellStyle name="Normal 4 2 2 3 2 2 2 5 3 2" xfId="14822" xr:uid="{D963F457-0B71-41B7-8090-C0CBED144DD2}"/>
    <cellStyle name="Normal 4 2 2 3 2 2 2 5 3 3" xfId="23269" xr:uid="{1FD081DE-0054-4E05-BD82-D63704494917}"/>
    <cellStyle name="Normal 4 2 2 3 2 2 2 5 4" xfId="10604" xr:uid="{5B874261-85F2-4CFA-ACEB-98E050CCB611}"/>
    <cellStyle name="Normal 4 2 2 3 2 2 2 5 5" xfId="19052" xr:uid="{7AE94CBA-E314-4E10-9DB0-59EBCE1B451D}"/>
    <cellStyle name="Normal 4 2 2 3 2 2 2 6" xfId="2502" xr:uid="{00000000-0005-0000-0000-000007120000}"/>
    <cellStyle name="Normal 4 2 2 3 2 2 2 6 2" xfId="6785" xr:uid="{00000000-0005-0000-0000-000008120000}"/>
    <cellStyle name="Normal 4 2 2 3 2 2 2 6 2 2" xfId="15235" xr:uid="{3BD44A3B-7CA6-44E2-BEEE-6EA57A4D5881}"/>
    <cellStyle name="Normal 4 2 2 3 2 2 2 6 2 3" xfId="23682" xr:uid="{5B2D7A20-77F5-4399-B43A-732DD76EB2D0}"/>
    <cellStyle name="Normal 4 2 2 3 2 2 2 6 3" xfId="11017" xr:uid="{F2B015D3-25EC-45B1-9E58-3E60EBDE3C33}"/>
    <cellStyle name="Normal 4 2 2 3 2 2 2 6 4" xfId="19465" xr:uid="{03491D97-1527-4BBE-9C95-5D45B094249F}"/>
    <cellStyle name="Normal 4 2 2 3 2 2 2 7" xfId="4720" xr:uid="{00000000-0005-0000-0000-000009120000}"/>
    <cellStyle name="Normal 4 2 2 3 2 2 2 7 2" xfId="13170" xr:uid="{D6E9C1BE-6845-4737-A5B3-5D376921F570}"/>
    <cellStyle name="Normal 4 2 2 3 2 2 2 7 3" xfId="21617" xr:uid="{35D4C692-62B3-46D4-8A69-124962A2FC63}"/>
    <cellStyle name="Normal 4 2 2 3 2 2 2 8" xfId="8952" xr:uid="{A8088A0F-F473-4782-87BC-E06307D5D7DC}"/>
    <cellStyle name="Normal 4 2 2 3 2 2 2 9" xfId="17400" xr:uid="{23018D12-E788-4439-8504-1265F2104CB6}"/>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2 2 2" xfId="15727" xr:uid="{A655FE6B-B063-4ED6-84FE-652E718E897F}"/>
    <cellStyle name="Normal 4 2 2 3 2 2 3 2 2 3" xfId="24174" xr:uid="{050263B9-8C94-4C78-B0AD-A70C36B8413C}"/>
    <cellStyle name="Normal 4 2 2 3 2 2 3 2 3" xfId="11509" xr:uid="{D88F660C-A5BF-4021-96FC-ED882EF13FDA}"/>
    <cellStyle name="Normal 4 2 2 3 2 2 3 2 4" xfId="19957" xr:uid="{D6FA9D5A-195A-4639-A341-BBD6AE8441E4}"/>
    <cellStyle name="Normal 4 2 2 3 2 2 3 3" xfId="5132" xr:uid="{00000000-0005-0000-0000-00000D120000}"/>
    <cellStyle name="Normal 4 2 2 3 2 2 3 3 2" xfId="13582" xr:uid="{11A997EF-BEDF-45F1-BB29-14B93A900BF3}"/>
    <cellStyle name="Normal 4 2 2 3 2 2 3 3 3" xfId="22029" xr:uid="{C921303B-FD7C-4806-A54A-C129C68B3A8D}"/>
    <cellStyle name="Normal 4 2 2 3 2 2 3 4" xfId="9364" xr:uid="{1AD309DC-10FA-40E8-97E9-F51D7641A88C}"/>
    <cellStyle name="Normal 4 2 2 3 2 2 3 5" xfId="17812" xr:uid="{78AEB770-8F00-49FB-9FC9-0C2EB7D05C79}"/>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2 2 2" xfId="16140" xr:uid="{6725D81F-A77C-4FF6-9D7E-3287F17DD614}"/>
    <cellStyle name="Normal 4 2 2 3 2 2 4 2 2 3" xfId="24587" xr:uid="{BA2BEF76-BB43-45FF-8046-9605498D1C4C}"/>
    <cellStyle name="Normal 4 2 2 3 2 2 4 2 3" xfId="11922" xr:uid="{1AFFB33C-FDAC-4251-9869-51265CEF855C}"/>
    <cellStyle name="Normal 4 2 2 3 2 2 4 2 4" xfId="20370" xr:uid="{6C28961B-5074-4E6D-81CA-F18BCAE3D3CC}"/>
    <cellStyle name="Normal 4 2 2 3 2 2 4 3" xfId="5545" xr:uid="{00000000-0005-0000-0000-000011120000}"/>
    <cellStyle name="Normal 4 2 2 3 2 2 4 3 2" xfId="13995" xr:uid="{79D60BAB-E034-49E2-B906-4952DB443E67}"/>
    <cellStyle name="Normal 4 2 2 3 2 2 4 3 3" xfId="22442" xr:uid="{3DA9757C-1F74-4753-9672-90EBF3AB372C}"/>
    <cellStyle name="Normal 4 2 2 3 2 2 4 4" xfId="9777" xr:uid="{B7A69FE5-FC76-4247-A56E-4C71A84F549E}"/>
    <cellStyle name="Normal 4 2 2 3 2 2 4 5" xfId="18225" xr:uid="{9B3D2FA3-1DEF-40B6-9EC5-771F4ECF38CB}"/>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2 2 2" xfId="16553" xr:uid="{8AE883C8-CD88-48B2-B54E-8248400CC0D2}"/>
    <cellStyle name="Normal 4 2 2 3 2 2 5 2 2 3" xfId="25000" xr:uid="{2445F5E7-F6B5-4F5C-9408-79DBEA6F4082}"/>
    <cellStyle name="Normal 4 2 2 3 2 2 5 2 3" xfId="12335" xr:uid="{B22D1DEB-DBD3-46EC-9732-0EDCD9FEB6E9}"/>
    <cellStyle name="Normal 4 2 2 3 2 2 5 2 4" xfId="20783" xr:uid="{74006B0A-0605-49C7-BD2E-A0940679C7B7}"/>
    <cellStyle name="Normal 4 2 2 3 2 2 5 3" xfId="5958" xr:uid="{00000000-0005-0000-0000-000015120000}"/>
    <cellStyle name="Normal 4 2 2 3 2 2 5 3 2" xfId="14408" xr:uid="{02B724B9-B83F-4B13-9CE4-9FA084CE2001}"/>
    <cellStyle name="Normal 4 2 2 3 2 2 5 3 3" xfId="22855" xr:uid="{71260FA9-2B3B-4CEE-A0C7-49860ECDFD63}"/>
    <cellStyle name="Normal 4 2 2 3 2 2 5 4" xfId="10190" xr:uid="{4A1FAC0B-878B-4B47-828F-D5E8FEC37B95}"/>
    <cellStyle name="Normal 4 2 2 3 2 2 5 5" xfId="18638" xr:uid="{B954ABF3-BFF9-441B-9E56-4EEADD5CDE12}"/>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2 2 2" xfId="16966" xr:uid="{66C6F838-5A22-476F-9639-A1BC09CBD76A}"/>
    <cellStyle name="Normal 4 2 2 3 2 2 6 2 2 3" xfId="25413" xr:uid="{0E1661F6-DA1D-4AC3-BED2-B3AB30137B0F}"/>
    <cellStyle name="Normal 4 2 2 3 2 2 6 2 3" xfId="12748" xr:uid="{28ED4E86-8AA9-40B7-A7FD-A3CEF590B1CD}"/>
    <cellStyle name="Normal 4 2 2 3 2 2 6 2 4" xfId="21196" xr:uid="{9BA0D750-0C7F-4E7C-A5B0-361AF26AF7CF}"/>
    <cellStyle name="Normal 4 2 2 3 2 2 6 3" xfId="6371" xr:uid="{00000000-0005-0000-0000-000019120000}"/>
    <cellStyle name="Normal 4 2 2 3 2 2 6 3 2" xfId="14821" xr:uid="{442D0FDD-553A-4BD5-B0D1-86D070B92B46}"/>
    <cellStyle name="Normal 4 2 2 3 2 2 6 3 3" xfId="23268" xr:uid="{DCD6ACE4-559F-4C66-B316-62882CE73352}"/>
    <cellStyle name="Normal 4 2 2 3 2 2 6 4" xfId="10603" xr:uid="{7D7B2AE0-A869-4913-9B5C-0AB4A46E7DCF}"/>
    <cellStyle name="Normal 4 2 2 3 2 2 6 5" xfId="19051" xr:uid="{253DB210-80C6-4B4E-A2C7-3DF04882C154}"/>
    <cellStyle name="Normal 4 2 2 3 2 2 7" xfId="2501" xr:uid="{00000000-0005-0000-0000-00001A120000}"/>
    <cellStyle name="Normal 4 2 2 3 2 2 7 2" xfId="6784" xr:uid="{00000000-0005-0000-0000-00001B120000}"/>
    <cellStyle name="Normal 4 2 2 3 2 2 7 2 2" xfId="15234" xr:uid="{ECC52910-2DF9-4507-9C4E-C62266E99344}"/>
    <cellStyle name="Normal 4 2 2 3 2 2 7 2 3" xfId="23681" xr:uid="{CB85A689-153D-4F31-A18A-0BAD8A549E6C}"/>
    <cellStyle name="Normal 4 2 2 3 2 2 7 3" xfId="11016" xr:uid="{C429B4A9-4211-4373-87D5-5B0E20713DA4}"/>
    <cellStyle name="Normal 4 2 2 3 2 2 7 4" xfId="19464" xr:uid="{77A304AD-6BA7-450D-B786-FAA31A73F09B}"/>
    <cellStyle name="Normal 4 2 2 3 2 2 8" xfId="4719" xr:uid="{00000000-0005-0000-0000-00001C120000}"/>
    <cellStyle name="Normal 4 2 2 3 2 2 8 2" xfId="13169" xr:uid="{CB1CEFEA-5560-4018-8D00-7B7AE8B83C45}"/>
    <cellStyle name="Normal 4 2 2 3 2 2 8 3" xfId="21616" xr:uid="{5DDC1748-8B57-4F7F-9BE1-ECB0DFE958F4}"/>
    <cellStyle name="Normal 4 2 2 3 2 2 9" xfId="8951" xr:uid="{F5D93DF8-1B3E-4116-A9CA-1F411A29F315}"/>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2 2 2" xfId="15729" xr:uid="{ACDADBE9-C479-46FB-BE04-CB3765625119}"/>
    <cellStyle name="Normal 4 2 2 3 2 3 2 2 2 3" xfId="24176" xr:uid="{77F4D85B-BB15-43E2-B9D8-49FAFDA3B1E1}"/>
    <cellStyle name="Normal 4 2 2 3 2 3 2 2 3" xfId="11511" xr:uid="{C09F0169-F15A-4774-BF67-C5F1C35A45AE}"/>
    <cellStyle name="Normal 4 2 2 3 2 3 2 2 4" xfId="19959" xr:uid="{F7D0E211-BC4B-4DEE-8589-EC150CD94C5A}"/>
    <cellStyle name="Normal 4 2 2 3 2 3 2 3" xfId="5134" xr:uid="{00000000-0005-0000-0000-000021120000}"/>
    <cellStyle name="Normal 4 2 2 3 2 3 2 3 2" xfId="13584" xr:uid="{A35D9227-E38B-47FF-A01A-6492B0CF1ACA}"/>
    <cellStyle name="Normal 4 2 2 3 2 3 2 3 3" xfId="22031" xr:uid="{78481157-65E4-41CB-A486-8CE8253DDB3D}"/>
    <cellStyle name="Normal 4 2 2 3 2 3 2 4" xfId="9366" xr:uid="{C153029B-85F1-4933-8FC6-C333668283CA}"/>
    <cellStyle name="Normal 4 2 2 3 2 3 2 5" xfId="17814" xr:uid="{6C172ABE-20A4-4412-B273-59C842030511}"/>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2 2 2" xfId="16142" xr:uid="{34AD5C82-6B40-44F1-B9A2-C8F8314E9846}"/>
    <cellStyle name="Normal 4 2 2 3 2 3 3 2 2 3" xfId="24589" xr:uid="{0E46EDD7-ECA4-43C1-A375-99EADAE2D2C0}"/>
    <cellStyle name="Normal 4 2 2 3 2 3 3 2 3" xfId="11924" xr:uid="{1E347062-C037-420D-91E1-8B19DA29333E}"/>
    <cellStyle name="Normal 4 2 2 3 2 3 3 2 4" xfId="20372" xr:uid="{8CF25A6B-7C62-4CC4-88D6-A1E68F2F722E}"/>
    <cellStyle name="Normal 4 2 2 3 2 3 3 3" xfId="5547" xr:uid="{00000000-0005-0000-0000-000025120000}"/>
    <cellStyle name="Normal 4 2 2 3 2 3 3 3 2" xfId="13997" xr:uid="{891A81B3-D991-42B9-B1DC-27ACF8D55D2E}"/>
    <cellStyle name="Normal 4 2 2 3 2 3 3 3 3" xfId="22444" xr:uid="{9506F1D7-6B54-4911-B896-BB634AB5B7F6}"/>
    <cellStyle name="Normal 4 2 2 3 2 3 3 4" xfId="9779" xr:uid="{2D70C5AE-C77E-4521-BF4B-7CC779A406E2}"/>
    <cellStyle name="Normal 4 2 2 3 2 3 3 5" xfId="18227" xr:uid="{A49938D2-E006-475A-B70D-0FFEEA90325B}"/>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2 2 2" xfId="16555" xr:uid="{FAC2D399-BC01-4196-A87B-40DFBE8A8871}"/>
    <cellStyle name="Normal 4 2 2 3 2 3 4 2 2 3" xfId="25002" xr:uid="{3F62B6BF-E735-4FCE-86E9-83B2C63C2760}"/>
    <cellStyle name="Normal 4 2 2 3 2 3 4 2 3" xfId="12337" xr:uid="{B68CE6E4-22F0-4A86-A4DF-44909E20D765}"/>
    <cellStyle name="Normal 4 2 2 3 2 3 4 2 4" xfId="20785" xr:uid="{5A313A38-2552-4012-BD5A-789F858DE0C7}"/>
    <cellStyle name="Normal 4 2 2 3 2 3 4 3" xfId="5960" xr:uid="{00000000-0005-0000-0000-000029120000}"/>
    <cellStyle name="Normal 4 2 2 3 2 3 4 3 2" xfId="14410" xr:uid="{535ECC34-5845-46F9-8B7C-968F76F2FE47}"/>
    <cellStyle name="Normal 4 2 2 3 2 3 4 3 3" xfId="22857" xr:uid="{83A6C443-F661-482D-90CE-EBB0122BA8E5}"/>
    <cellStyle name="Normal 4 2 2 3 2 3 4 4" xfId="10192" xr:uid="{83BB4920-F082-4309-8D49-C2BA68FC3616}"/>
    <cellStyle name="Normal 4 2 2 3 2 3 4 5" xfId="18640" xr:uid="{91F8A7C7-3FF0-433A-AABF-38CCA432ACA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2 2 2" xfId="16968" xr:uid="{D4515CC6-34FA-4E8E-9B32-CEB28A4B5DEB}"/>
    <cellStyle name="Normal 4 2 2 3 2 3 5 2 2 3" xfId="25415" xr:uid="{094884BD-D223-46D3-B46C-AC715933C6F9}"/>
    <cellStyle name="Normal 4 2 2 3 2 3 5 2 3" xfId="12750" xr:uid="{DD1B1765-532C-48FA-9BBF-976E505B5AC3}"/>
    <cellStyle name="Normal 4 2 2 3 2 3 5 2 4" xfId="21198" xr:uid="{E748306B-1B7D-4640-9281-4030EC77B503}"/>
    <cellStyle name="Normal 4 2 2 3 2 3 5 3" xfId="6373" xr:uid="{00000000-0005-0000-0000-00002D120000}"/>
    <cellStyle name="Normal 4 2 2 3 2 3 5 3 2" xfId="14823" xr:uid="{41E0494F-CE7A-4712-A143-8F0CB4F57DF5}"/>
    <cellStyle name="Normal 4 2 2 3 2 3 5 3 3" xfId="23270" xr:uid="{57F1A82B-4287-40C7-9DF9-98BA4CA6AC12}"/>
    <cellStyle name="Normal 4 2 2 3 2 3 5 4" xfId="10605" xr:uid="{777A9D8D-525C-49D4-846B-346A33FF7AC0}"/>
    <cellStyle name="Normal 4 2 2 3 2 3 5 5" xfId="19053" xr:uid="{17D7054E-9536-4906-8914-5F504CF55A5D}"/>
    <cellStyle name="Normal 4 2 2 3 2 3 6" xfId="2503" xr:uid="{00000000-0005-0000-0000-00002E120000}"/>
    <cellStyle name="Normal 4 2 2 3 2 3 6 2" xfId="6786" xr:uid="{00000000-0005-0000-0000-00002F120000}"/>
    <cellStyle name="Normal 4 2 2 3 2 3 6 2 2" xfId="15236" xr:uid="{99A5C79F-9C2F-4A95-8BAE-77EE63BBC035}"/>
    <cellStyle name="Normal 4 2 2 3 2 3 6 2 3" xfId="23683" xr:uid="{75D82469-21ED-46B4-9909-62E64D8D554C}"/>
    <cellStyle name="Normal 4 2 2 3 2 3 6 3" xfId="11018" xr:uid="{99BC680B-388D-4666-BE42-9C2C3ED74621}"/>
    <cellStyle name="Normal 4 2 2 3 2 3 6 4" xfId="19466" xr:uid="{3193B4DB-E338-475C-A65F-2DB53100599B}"/>
    <cellStyle name="Normal 4 2 2 3 2 3 7" xfId="4721" xr:uid="{00000000-0005-0000-0000-000030120000}"/>
    <cellStyle name="Normal 4 2 2 3 2 3 7 2" xfId="13171" xr:uid="{E6FA461C-453E-4DEE-A49F-8620AA9912B8}"/>
    <cellStyle name="Normal 4 2 2 3 2 3 7 3" xfId="21618" xr:uid="{A7DC36D4-DFBD-4ACA-9782-84551550B852}"/>
    <cellStyle name="Normal 4 2 2 3 2 3 8" xfId="8953" xr:uid="{9EFDF51B-C513-4A2D-B9E6-CE764C5BFFF6}"/>
    <cellStyle name="Normal 4 2 2 3 2 3 9" xfId="17401" xr:uid="{3D010C8A-EC43-4467-9DD0-49225BCFFF44}"/>
    <cellStyle name="Normal 4 2 2 3 2 4" xfId="817" xr:uid="{00000000-0005-0000-0000-000031120000}"/>
    <cellStyle name="Normal 4 2 2 3 2 4 2" xfId="3054" xr:uid="{00000000-0005-0000-0000-000032120000}"/>
    <cellStyle name="Normal 4 2 2 3 2 4 2 2" xfId="7276" xr:uid="{00000000-0005-0000-0000-000033120000}"/>
    <cellStyle name="Normal 4 2 2 3 2 4 2 2 2" xfId="15726" xr:uid="{76B5719A-FAA0-414F-8161-B1C15EE3B26E}"/>
    <cellStyle name="Normal 4 2 2 3 2 4 2 2 3" xfId="24173" xr:uid="{E5624C56-D998-4E84-A1EC-B1266A3392B4}"/>
    <cellStyle name="Normal 4 2 2 3 2 4 2 3" xfId="11508" xr:uid="{CA4BE035-ACB1-4B51-9FDE-93BDD7F455AE}"/>
    <cellStyle name="Normal 4 2 2 3 2 4 2 4" xfId="19956" xr:uid="{70994EC2-ED5D-4795-B420-3421A433F91C}"/>
    <cellStyle name="Normal 4 2 2 3 2 4 3" xfId="5131" xr:uid="{00000000-0005-0000-0000-000034120000}"/>
    <cellStyle name="Normal 4 2 2 3 2 4 3 2" xfId="13581" xr:uid="{0737BDBC-F112-474D-9299-7B6FA57A7667}"/>
    <cellStyle name="Normal 4 2 2 3 2 4 3 3" xfId="22028" xr:uid="{A9B16F8B-589C-4154-8C84-CEF1A552947F}"/>
    <cellStyle name="Normal 4 2 2 3 2 4 4" xfId="9363" xr:uid="{AC9DAA42-26BA-4435-B61F-76F9F6D58DD5}"/>
    <cellStyle name="Normal 4 2 2 3 2 4 5" xfId="17811" xr:uid="{6DCC3B36-3193-41E3-A7AD-44FDBDA19468}"/>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2 2 2" xfId="16139" xr:uid="{51F69764-CECA-4ACC-8974-C29BF2777CB1}"/>
    <cellStyle name="Normal 4 2 2 3 2 5 2 2 3" xfId="24586" xr:uid="{6E0A3A94-FB18-4D8C-8CC3-23F458310E96}"/>
    <cellStyle name="Normal 4 2 2 3 2 5 2 3" xfId="11921" xr:uid="{EEA93B12-21F8-4DD0-AFE4-57783E2E6162}"/>
    <cellStyle name="Normal 4 2 2 3 2 5 2 4" xfId="20369" xr:uid="{DC4B2C07-DB57-4813-BB20-1BE4ED87B246}"/>
    <cellStyle name="Normal 4 2 2 3 2 5 3" xfId="5544" xr:uid="{00000000-0005-0000-0000-000038120000}"/>
    <cellStyle name="Normal 4 2 2 3 2 5 3 2" xfId="13994" xr:uid="{E0F9059A-2EA8-4B03-AFC3-C73C61C24C82}"/>
    <cellStyle name="Normal 4 2 2 3 2 5 3 3" xfId="22441" xr:uid="{7EBA7F13-879A-4EF7-8FC1-ADB7013051CD}"/>
    <cellStyle name="Normal 4 2 2 3 2 5 4" xfId="9776" xr:uid="{46DFE999-DF85-48BF-AF04-532C81BD9176}"/>
    <cellStyle name="Normal 4 2 2 3 2 5 5" xfId="18224" xr:uid="{90C04A8A-A563-4FCD-BE42-DCC6824CBC62}"/>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2 2 2" xfId="16552" xr:uid="{BC87F5FF-B263-41D0-AAA1-614C8645E695}"/>
    <cellStyle name="Normal 4 2 2 3 2 6 2 2 3" xfId="24999" xr:uid="{0DE2BE15-290C-4BF2-B10F-670287F214EE}"/>
    <cellStyle name="Normal 4 2 2 3 2 6 2 3" xfId="12334" xr:uid="{B7184A05-AB86-434A-89EF-138E84DC525A}"/>
    <cellStyle name="Normal 4 2 2 3 2 6 2 4" xfId="20782" xr:uid="{7CA12B4A-6D2D-49E6-A07E-1D25E1ACFF61}"/>
    <cellStyle name="Normal 4 2 2 3 2 6 3" xfId="5957" xr:uid="{00000000-0005-0000-0000-00003C120000}"/>
    <cellStyle name="Normal 4 2 2 3 2 6 3 2" xfId="14407" xr:uid="{DB52826B-AE5E-4CBB-B6AD-09291B75BF47}"/>
    <cellStyle name="Normal 4 2 2 3 2 6 3 3" xfId="22854" xr:uid="{75358623-4826-4EA0-A993-09E531CFD702}"/>
    <cellStyle name="Normal 4 2 2 3 2 6 4" xfId="10189" xr:uid="{49781572-7115-461E-A97E-8F7422607A7E}"/>
    <cellStyle name="Normal 4 2 2 3 2 6 5" xfId="18637" xr:uid="{E1F1C842-1261-432C-8743-1FE71594FDA9}"/>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2 2 2" xfId="16965" xr:uid="{496FAA91-8C23-4EC4-8AAB-E284ADF66B08}"/>
    <cellStyle name="Normal 4 2 2 3 2 7 2 2 3" xfId="25412" xr:uid="{A097F042-4A04-4E68-9AC1-404720ABEF1B}"/>
    <cellStyle name="Normal 4 2 2 3 2 7 2 3" xfId="12747" xr:uid="{B3FB2DAC-382C-477F-9834-9C40A3F67311}"/>
    <cellStyle name="Normal 4 2 2 3 2 7 2 4" xfId="21195" xr:uid="{8CA1EC97-524F-42FD-8ECA-C492547EC756}"/>
    <cellStyle name="Normal 4 2 2 3 2 7 3" xfId="6370" xr:uid="{00000000-0005-0000-0000-000040120000}"/>
    <cellStyle name="Normal 4 2 2 3 2 7 3 2" xfId="14820" xr:uid="{EC41681C-B6FA-4C6B-9755-2EC10165F513}"/>
    <cellStyle name="Normal 4 2 2 3 2 7 3 3" xfId="23267" xr:uid="{C265EF61-00E4-4686-99AF-142F3B96A67F}"/>
    <cellStyle name="Normal 4 2 2 3 2 7 4" xfId="10602" xr:uid="{A45C96CD-70CC-4E15-971C-D79535946603}"/>
    <cellStyle name="Normal 4 2 2 3 2 7 5" xfId="19050" xr:uid="{9C0A2847-4D7E-4255-B2AB-8044D93361D4}"/>
    <cellStyle name="Normal 4 2 2 3 2 8" xfId="2500" xr:uid="{00000000-0005-0000-0000-000041120000}"/>
    <cellStyle name="Normal 4 2 2 3 2 8 2" xfId="6783" xr:uid="{00000000-0005-0000-0000-000042120000}"/>
    <cellStyle name="Normal 4 2 2 3 2 8 2 2" xfId="15233" xr:uid="{8DF48EF9-56C7-4D11-8FDC-E505CBD223C1}"/>
    <cellStyle name="Normal 4 2 2 3 2 8 2 3" xfId="23680" xr:uid="{F6FD52AB-5909-4AC5-8A08-10B988803B70}"/>
    <cellStyle name="Normal 4 2 2 3 2 8 3" xfId="11015" xr:uid="{BE70BF75-5122-4EBE-A4A6-5342D710C0C1}"/>
    <cellStyle name="Normal 4 2 2 3 2 8 4" xfId="19463" xr:uid="{88255736-4030-4708-84C2-94303F407C43}"/>
    <cellStyle name="Normal 4 2 2 3 2 9" xfId="4718" xr:uid="{00000000-0005-0000-0000-000043120000}"/>
    <cellStyle name="Normal 4 2 2 3 2 9 2" xfId="13168" xr:uid="{7D8D3562-BBA0-499F-B5C8-046146C50349}"/>
    <cellStyle name="Normal 4 2 2 3 2 9 3" xfId="21615" xr:uid="{CD55F11E-C59F-449A-9BD5-C7541C43AD99}"/>
    <cellStyle name="Normal 4 2 2 3 3" xfId="344" xr:uid="{00000000-0005-0000-0000-000044120000}"/>
    <cellStyle name="Normal 4 2 2 3 3 10" xfId="17402" xr:uid="{F1A4385D-84C9-41E0-B52A-065F135F56A4}"/>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2 2 2" xfId="15731" xr:uid="{D4F75133-BC3A-4C96-A92E-A3E8840AA343}"/>
    <cellStyle name="Normal 4 2 2 3 3 2 2 2 2 3" xfId="24178" xr:uid="{2A51A81F-1047-4CC8-9F42-832AEE57C73A}"/>
    <cellStyle name="Normal 4 2 2 3 3 2 2 2 3" xfId="11513" xr:uid="{A57B31BB-CE83-46DE-934C-20F95A16E955}"/>
    <cellStyle name="Normal 4 2 2 3 3 2 2 2 4" xfId="19961" xr:uid="{70A28EA9-CF4F-4671-832B-715DD345726C}"/>
    <cellStyle name="Normal 4 2 2 3 3 2 2 3" xfId="5136" xr:uid="{00000000-0005-0000-0000-000049120000}"/>
    <cellStyle name="Normal 4 2 2 3 3 2 2 3 2" xfId="13586" xr:uid="{A7FE11DC-7911-4A87-930B-5B35D43E5475}"/>
    <cellStyle name="Normal 4 2 2 3 3 2 2 3 3" xfId="22033" xr:uid="{AC0F4710-2BA1-4E06-A6B0-BECEB844C19E}"/>
    <cellStyle name="Normal 4 2 2 3 3 2 2 4" xfId="9368" xr:uid="{88F769AE-EEED-42AC-9042-C1EFB9AC1F39}"/>
    <cellStyle name="Normal 4 2 2 3 3 2 2 5" xfId="17816" xr:uid="{46A2BEC6-ECE9-48D6-BBC4-635AA13D79E7}"/>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2 2 2" xfId="16144" xr:uid="{7927009F-ABEF-47B5-817A-237BC570A98D}"/>
    <cellStyle name="Normal 4 2 2 3 3 2 3 2 2 3" xfId="24591" xr:uid="{EB5F5705-53A4-4C8E-B811-6360B68B821A}"/>
    <cellStyle name="Normal 4 2 2 3 3 2 3 2 3" xfId="11926" xr:uid="{A27DF41F-4FCC-46F1-8F99-103CCF0C5D75}"/>
    <cellStyle name="Normal 4 2 2 3 3 2 3 2 4" xfId="20374" xr:uid="{B2BF64BB-0015-4E9C-992F-8A0A01523E9C}"/>
    <cellStyle name="Normal 4 2 2 3 3 2 3 3" xfId="5549" xr:uid="{00000000-0005-0000-0000-00004D120000}"/>
    <cellStyle name="Normal 4 2 2 3 3 2 3 3 2" xfId="13999" xr:uid="{690C303C-5F72-42C5-A65D-1FDB29516586}"/>
    <cellStyle name="Normal 4 2 2 3 3 2 3 3 3" xfId="22446" xr:uid="{40BE0AF8-E497-407F-BC17-E5F83325B4EB}"/>
    <cellStyle name="Normal 4 2 2 3 3 2 3 4" xfId="9781" xr:uid="{4F265568-B791-4672-8C98-8E8F52020C9D}"/>
    <cellStyle name="Normal 4 2 2 3 3 2 3 5" xfId="18229" xr:uid="{9094B9E6-9339-4375-A511-82A4056019E1}"/>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2 2 2" xfId="16557" xr:uid="{97A286AF-8B5F-4264-AA77-308ABF8DCB79}"/>
    <cellStyle name="Normal 4 2 2 3 3 2 4 2 2 3" xfId="25004" xr:uid="{807CDB0C-41CA-4E29-9929-920AC9D38ACF}"/>
    <cellStyle name="Normal 4 2 2 3 3 2 4 2 3" xfId="12339" xr:uid="{FCE77A29-FA9C-4174-AC85-986AEA437349}"/>
    <cellStyle name="Normal 4 2 2 3 3 2 4 2 4" xfId="20787" xr:uid="{727361FB-E9C9-4BB8-9188-2533A4919477}"/>
    <cellStyle name="Normal 4 2 2 3 3 2 4 3" xfId="5962" xr:uid="{00000000-0005-0000-0000-000051120000}"/>
    <cellStyle name="Normal 4 2 2 3 3 2 4 3 2" xfId="14412" xr:uid="{743D8A69-3A32-4FA3-8CF6-5F25408F1BA8}"/>
    <cellStyle name="Normal 4 2 2 3 3 2 4 3 3" xfId="22859" xr:uid="{AD5CB4A6-F41D-4C16-A00F-46D1F0A2AFD6}"/>
    <cellStyle name="Normal 4 2 2 3 3 2 4 4" xfId="10194" xr:uid="{06329DB1-2883-4485-B49B-C91E042A29A7}"/>
    <cellStyle name="Normal 4 2 2 3 3 2 4 5" xfId="18642" xr:uid="{2ED08213-88AB-4149-8079-7B781EECF64F}"/>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2 2 2" xfId="16970" xr:uid="{185C7F7D-494E-4E83-AC94-E5D23C7F0DB7}"/>
    <cellStyle name="Normal 4 2 2 3 3 2 5 2 2 3" xfId="25417" xr:uid="{E783727F-FA5B-466B-AC3D-224E104E949F}"/>
    <cellStyle name="Normal 4 2 2 3 3 2 5 2 3" xfId="12752" xr:uid="{929769DC-B934-4C9F-826C-CA33C45B384F}"/>
    <cellStyle name="Normal 4 2 2 3 3 2 5 2 4" xfId="21200" xr:uid="{8B3C9DDC-CAD5-4E73-9B52-31F215FF9022}"/>
    <cellStyle name="Normal 4 2 2 3 3 2 5 3" xfId="6375" xr:uid="{00000000-0005-0000-0000-000055120000}"/>
    <cellStyle name="Normal 4 2 2 3 3 2 5 3 2" xfId="14825" xr:uid="{C1193C5B-937F-4969-AEE8-12C1BD07571B}"/>
    <cellStyle name="Normal 4 2 2 3 3 2 5 3 3" xfId="23272" xr:uid="{4A8A203D-1F61-436D-AAA2-722ECE007FD5}"/>
    <cellStyle name="Normal 4 2 2 3 3 2 5 4" xfId="10607" xr:uid="{85B38131-3899-4C06-BE19-350A6F91F684}"/>
    <cellStyle name="Normal 4 2 2 3 3 2 5 5" xfId="19055" xr:uid="{A9BA575C-EB00-43CE-A817-B25CA4859843}"/>
    <cellStyle name="Normal 4 2 2 3 3 2 6" xfId="2505" xr:uid="{00000000-0005-0000-0000-000056120000}"/>
    <cellStyle name="Normal 4 2 2 3 3 2 6 2" xfId="6788" xr:uid="{00000000-0005-0000-0000-000057120000}"/>
    <cellStyle name="Normal 4 2 2 3 3 2 6 2 2" xfId="15238" xr:uid="{85AC0D9C-B1C5-4E7C-85AC-D6F86BB58F03}"/>
    <cellStyle name="Normal 4 2 2 3 3 2 6 2 3" xfId="23685" xr:uid="{445F680A-4E86-441F-9011-7C5F10CE3961}"/>
    <cellStyle name="Normal 4 2 2 3 3 2 6 3" xfId="11020" xr:uid="{262216AB-491C-48FA-A41B-7B5B05BBAF36}"/>
    <cellStyle name="Normal 4 2 2 3 3 2 6 4" xfId="19468" xr:uid="{201664B4-A3BA-436A-A9E1-FE330E06A70E}"/>
    <cellStyle name="Normal 4 2 2 3 3 2 7" xfId="4723" xr:uid="{00000000-0005-0000-0000-000058120000}"/>
    <cellStyle name="Normal 4 2 2 3 3 2 7 2" xfId="13173" xr:uid="{3700F95A-35A9-433F-BB4E-9069D5370A3F}"/>
    <cellStyle name="Normal 4 2 2 3 3 2 7 3" xfId="21620" xr:uid="{580406EA-BAD7-4E7C-A9D2-5CA299685E91}"/>
    <cellStyle name="Normal 4 2 2 3 3 2 8" xfId="8955" xr:uid="{476052F3-35B1-4273-8A9F-F968834CE2F8}"/>
    <cellStyle name="Normal 4 2 2 3 3 2 9" xfId="17403" xr:uid="{1ADD737F-85B4-4F99-89D5-F7AA879FD6D5}"/>
    <cellStyle name="Normal 4 2 2 3 3 3" xfId="821" xr:uid="{00000000-0005-0000-0000-000059120000}"/>
    <cellStyle name="Normal 4 2 2 3 3 3 2" xfId="3058" xr:uid="{00000000-0005-0000-0000-00005A120000}"/>
    <cellStyle name="Normal 4 2 2 3 3 3 2 2" xfId="7280" xr:uid="{00000000-0005-0000-0000-00005B120000}"/>
    <cellStyle name="Normal 4 2 2 3 3 3 2 2 2" xfId="15730" xr:uid="{E5676A50-C66A-4588-A51F-5CDF23B69156}"/>
    <cellStyle name="Normal 4 2 2 3 3 3 2 2 3" xfId="24177" xr:uid="{8CEFF20B-3810-4199-9231-64E44E0CDC25}"/>
    <cellStyle name="Normal 4 2 2 3 3 3 2 3" xfId="11512" xr:uid="{F323FE6E-137C-4196-85FE-62B53F5BB777}"/>
    <cellStyle name="Normal 4 2 2 3 3 3 2 4" xfId="19960" xr:uid="{30111FC5-BBCE-4D8C-B095-0F8441303FD1}"/>
    <cellStyle name="Normal 4 2 2 3 3 3 3" xfId="5135" xr:uid="{00000000-0005-0000-0000-00005C120000}"/>
    <cellStyle name="Normal 4 2 2 3 3 3 3 2" xfId="13585" xr:uid="{CA631B52-A5FA-4BBC-9254-9CCE048E15E4}"/>
    <cellStyle name="Normal 4 2 2 3 3 3 3 3" xfId="22032" xr:uid="{55F1DA55-D913-4E6B-84DA-C78D2F6EAE97}"/>
    <cellStyle name="Normal 4 2 2 3 3 3 4" xfId="9367" xr:uid="{16512AB8-11E1-4FEF-9680-2605FB31F868}"/>
    <cellStyle name="Normal 4 2 2 3 3 3 5" xfId="17815" xr:uid="{031CE6D0-37C7-40ED-B6F3-604F21923CF6}"/>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2 2 2" xfId="16143" xr:uid="{B24A341A-7443-4081-8A27-84F30BD12A7F}"/>
    <cellStyle name="Normal 4 2 2 3 3 4 2 2 3" xfId="24590" xr:uid="{E9D3C4E5-3C4C-43E1-9B34-F0C8E31C3E83}"/>
    <cellStyle name="Normal 4 2 2 3 3 4 2 3" xfId="11925" xr:uid="{833E6CA6-5898-431E-9756-87777E66B12C}"/>
    <cellStyle name="Normal 4 2 2 3 3 4 2 4" xfId="20373" xr:uid="{75B2A6D6-866E-40D8-89F0-40FFA1EF179F}"/>
    <cellStyle name="Normal 4 2 2 3 3 4 3" xfId="5548" xr:uid="{00000000-0005-0000-0000-000060120000}"/>
    <cellStyle name="Normal 4 2 2 3 3 4 3 2" xfId="13998" xr:uid="{898732E3-9588-4C6D-B934-0D9B90E780B3}"/>
    <cellStyle name="Normal 4 2 2 3 3 4 3 3" xfId="22445" xr:uid="{A07622B5-5D4F-4F84-A75F-81109F974FE4}"/>
    <cellStyle name="Normal 4 2 2 3 3 4 4" xfId="9780" xr:uid="{453CD54D-54EE-4AD8-90E4-0941812E1B85}"/>
    <cellStyle name="Normal 4 2 2 3 3 4 5" xfId="18228" xr:uid="{9BEEF387-E80F-4276-97E4-C0F21C8265B9}"/>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2 2 2" xfId="16556" xr:uid="{1EC7627C-2832-4229-BF74-B56E41FC98DE}"/>
    <cellStyle name="Normal 4 2 2 3 3 5 2 2 3" xfId="25003" xr:uid="{68E935A6-D7F0-4765-8654-5748EB6151F9}"/>
    <cellStyle name="Normal 4 2 2 3 3 5 2 3" xfId="12338" xr:uid="{C8F65D61-46EA-4D5F-BF61-5A78A709833D}"/>
    <cellStyle name="Normal 4 2 2 3 3 5 2 4" xfId="20786" xr:uid="{065EA0BA-33C6-411D-95F8-E93CEDC938E9}"/>
    <cellStyle name="Normal 4 2 2 3 3 5 3" xfId="5961" xr:uid="{00000000-0005-0000-0000-000064120000}"/>
    <cellStyle name="Normal 4 2 2 3 3 5 3 2" xfId="14411" xr:uid="{FDD072E2-79E8-40B2-9C22-8B2E68266234}"/>
    <cellStyle name="Normal 4 2 2 3 3 5 3 3" xfId="22858" xr:uid="{94F627AE-7385-4538-BEC3-65DCB9D7631E}"/>
    <cellStyle name="Normal 4 2 2 3 3 5 4" xfId="10193" xr:uid="{79141CD0-0E81-423C-8B30-A6E30ADA1E68}"/>
    <cellStyle name="Normal 4 2 2 3 3 5 5" xfId="18641" xr:uid="{B53B9384-923D-4616-AB6D-FFE59FC403B2}"/>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2 2 2" xfId="16969" xr:uid="{45ABB504-7CF5-408A-873A-7990A12C52CF}"/>
    <cellStyle name="Normal 4 2 2 3 3 6 2 2 3" xfId="25416" xr:uid="{B58E54A4-6F7E-49C9-91F3-2D6C1EF73170}"/>
    <cellStyle name="Normal 4 2 2 3 3 6 2 3" xfId="12751" xr:uid="{2E7B59A7-9021-4949-B2C2-BE0BB2D23893}"/>
    <cellStyle name="Normal 4 2 2 3 3 6 2 4" xfId="21199" xr:uid="{25513444-C54F-44A8-9A9B-3461987C8C62}"/>
    <cellStyle name="Normal 4 2 2 3 3 6 3" xfId="6374" xr:uid="{00000000-0005-0000-0000-000068120000}"/>
    <cellStyle name="Normal 4 2 2 3 3 6 3 2" xfId="14824" xr:uid="{486D13D5-689F-4E36-98CD-3C7430DE1571}"/>
    <cellStyle name="Normal 4 2 2 3 3 6 3 3" xfId="23271" xr:uid="{FF4EEAA1-DED4-481C-8DDB-5EC26CD9A6E0}"/>
    <cellStyle name="Normal 4 2 2 3 3 6 4" xfId="10606" xr:uid="{A0D02C0E-994C-47EF-9C36-0A64A8ADB8D7}"/>
    <cellStyle name="Normal 4 2 2 3 3 6 5" xfId="19054" xr:uid="{1E97C8AD-EB72-4AF8-90CF-8BC8B4A41CE6}"/>
    <cellStyle name="Normal 4 2 2 3 3 7" xfId="2504" xr:uid="{00000000-0005-0000-0000-000069120000}"/>
    <cellStyle name="Normal 4 2 2 3 3 7 2" xfId="6787" xr:uid="{00000000-0005-0000-0000-00006A120000}"/>
    <cellStyle name="Normal 4 2 2 3 3 7 2 2" xfId="15237" xr:uid="{93174A79-EF08-4A3B-8729-20004CCA8A60}"/>
    <cellStyle name="Normal 4 2 2 3 3 7 2 3" xfId="23684" xr:uid="{DC0C8958-54D6-4147-84F8-FA8A9BBE44D9}"/>
    <cellStyle name="Normal 4 2 2 3 3 7 3" xfId="11019" xr:uid="{2582235E-0D05-4D3F-BA9D-114A27AFF836}"/>
    <cellStyle name="Normal 4 2 2 3 3 7 4" xfId="19467" xr:uid="{72D00AA3-90D6-4E55-B24C-B410FC29310D}"/>
    <cellStyle name="Normal 4 2 2 3 3 8" xfId="4722" xr:uid="{00000000-0005-0000-0000-00006B120000}"/>
    <cellStyle name="Normal 4 2 2 3 3 8 2" xfId="13172" xr:uid="{8C4C5F29-7B14-46D9-9F2A-442A8C21BA2E}"/>
    <cellStyle name="Normal 4 2 2 3 3 8 3" xfId="21619" xr:uid="{650C3DE3-6C9B-4ABB-87BA-BE730DC1571F}"/>
    <cellStyle name="Normal 4 2 2 3 3 9" xfId="8954" xr:uid="{1DC3F246-1E29-494A-9800-463C3B614D45}"/>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2 2 2" xfId="15732" xr:uid="{98E337C9-EB93-42E0-B0AB-C05EBC33258E}"/>
    <cellStyle name="Normal 4 2 2 3 4 2 2 2 3" xfId="24179" xr:uid="{E1C09169-32B3-4306-9867-D955C8F142AC}"/>
    <cellStyle name="Normal 4 2 2 3 4 2 2 3" xfId="11514" xr:uid="{7D67DEC7-69DE-497A-AE45-57848BA971C2}"/>
    <cellStyle name="Normal 4 2 2 3 4 2 2 4" xfId="19962" xr:uid="{D2304920-7465-483A-BFE5-08C0D95BADA6}"/>
    <cellStyle name="Normal 4 2 2 3 4 2 3" xfId="5137" xr:uid="{00000000-0005-0000-0000-000070120000}"/>
    <cellStyle name="Normal 4 2 2 3 4 2 3 2" xfId="13587" xr:uid="{F40AB504-FDDB-427E-9D56-C4BAF2A7E34F}"/>
    <cellStyle name="Normal 4 2 2 3 4 2 3 3" xfId="22034" xr:uid="{283E7FE0-D860-4E4D-B309-0FFF08765304}"/>
    <cellStyle name="Normal 4 2 2 3 4 2 4" xfId="9369" xr:uid="{4BE72E75-DA89-4593-B16F-4DF80C29E079}"/>
    <cellStyle name="Normal 4 2 2 3 4 2 5" xfId="17817" xr:uid="{6B27B8B9-778C-44CE-90A6-3256519AA8E5}"/>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2 2 2" xfId="16145" xr:uid="{CB1517B9-AC53-401A-938C-DA08B809D84C}"/>
    <cellStyle name="Normal 4 2 2 3 4 3 2 2 3" xfId="24592" xr:uid="{0640A961-3F80-4BDE-AC9D-4FF9D731FDCE}"/>
    <cellStyle name="Normal 4 2 2 3 4 3 2 3" xfId="11927" xr:uid="{5E53BA73-98C2-48DD-B119-364D6CD83BC5}"/>
    <cellStyle name="Normal 4 2 2 3 4 3 2 4" xfId="20375" xr:uid="{65CA8A8F-C73E-4E37-8C66-7A69D9A2B329}"/>
    <cellStyle name="Normal 4 2 2 3 4 3 3" xfId="5550" xr:uid="{00000000-0005-0000-0000-000074120000}"/>
    <cellStyle name="Normal 4 2 2 3 4 3 3 2" xfId="14000" xr:uid="{E38B48FE-F4AF-4D21-9CF8-892A4A66B107}"/>
    <cellStyle name="Normal 4 2 2 3 4 3 3 3" xfId="22447" xr:uid="{54F66164-BFB8-4E62-BCE4-A2E989FA344A}"/>
    <cellStyle name="Normal 4 2 2 3 4 3 4" xfId="9782" xr:uid="{E49F6978-F1C6-4787-B15C-56504003BBB1}"/>
    <cellStyle name="Normal 4 2 2 3 4 3 5" xfId="18230" xr:uid="{E0BE8C26-EDD2-42BE-B3D7-17B8B4DCD8CD}"/>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2 2 2" xfId="16558" xr:uid="{4C3CC708-B29D-4614-83F8-DA64CFD39121}"/>
    <cellStyle name="Normal 4 2 2 3 4 4 2 2 3" xfId="25005" xr:uid="{8A3589C6-758B-4107-8535-0257AA024391}"/>
    <cellStyle name="Normal 4 2 2 3 4 4 2 3" xfId="12340" xr:uid="{B8F23FD1-1ADE-450D-9828-47DB4B600162}"/>
    <cellStyle name="Normal 4 2 2 3 4 4 2 4" xfId="20788" xr:uid="{BA420953-8BE7-45E9-BD1B-9210DF435926}"/>
    <cellStyle name="Normal 4 2 2 3 4 4 3" xfId="5963" xr:uid="{00000000-0005-0000-0000-000078120000}"/>
    <cellStyle name="Normal 4 2 2 3 4 4 3 2" xfId="14413" xr:uid="{7B628DA5-A8AA-4035-A4C0-130D7B4D419A}"/>
    <cellStyle name="Normal 4 2 2 3 4 4 3 3" xfId="22860" xr:uid="{F30DF527-D3D7-417C-BCC1-5B20E597E71B}"/>
    <cellStyle name="Normal 4 2 2 3 4 4 4" xfId="10195" xr:uid="{C645CBCC-7676-4CFA-AF5A-58B11C646E38}"/>
    <cellStyle name="Normal 4 2 2 3 4 4 5" xfId="18643" xr:uid="{4E27D202-0220-4F48-ABD6-AD322FC60F2D}"/>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2 2 2" xfId="16971" xr:uid="{55DC3B82-5241-4F42-BB1F-5BF2CD45443F}"/>
    <cellStyle name="Normal 4 2 2 3 4 5 2 2 3" xfId="25418" xr:uid="{773D8C30-87F8-42EF-A44D-7EF47700846C}"/>
    <cellStyle name="Normal 4 2 2 3 4 5 2 3" xfId="12753" xr:uid="{EBCA279C-A4CD-4072-B27D-C15B204010BB}"/>
    <cellStyle name="Normal 4 2 2 3 4 5 2 4" xfId="21201" xr:uid="{D61D3563-C303-4C4E-8597-92759E002858}"/>
    <cellStyle name="Normal 4 2 2 3 4 5 3" xfId="6376" xr:uid="{00000000-0005-0000-0000-00007C120000}"/>
    <cellStyle name="Normal 4 2 2 3 4 5 3 2" xfId="14826" xr:uid="{35691127-0828-40AB-9CDA-1511BDB20CB2}"/>
    <cellStyle name="Normal 4 2 2 3 4 5 3 3" xfId="23273" xr:uid="{6ECD0E78-E61F-449D-A984-4FF25A88606B}"/>
    <cellStyle name="Normal 4 2 2 3 4 5 4" xfId="10608" xr:uid="{C43DE700-D489-4A22-BDFB-0E8DD6A8F237}"/>
    <cellStyle name="Normal 4 2 2 3 4 5 5" xfId="19056" xr:uid="{C99B2625-DDEE-4952-89F5-774A23218B77}"/>
    <cellStyle name="Normal 4 2 2 3 4 6" xfId="2506" xr:uid="{00000000-0005-0000-0000-00007D120000}"/>
    <cellStyle name="Normal 4 2 2 3 4 6 2" xfId="6789" xr:uid="{00000000-0005-0000-0000-00007E120000}"/>
    <cellStyle name="Normal 4 2 2 3 4 6 2 2" xfId="15239" xr:uid="{D778826D-2E3A-483F-BB4E-EFD97B133C2B}"/>
    <cellStyle name="Normal 4 2 2 3 4 6 2 3" xfId="23686" xr:uid="{33A7B058-F57B-4580-8F65-AB342E97E334}"/>
    <cellStyle name="Normal 4 2 2 3 4 6 3" xfId="11021" xr:uid="{882E47CD-9A2A-435A-BD95-2FDE8F2ED39A}"/>
    <cellStyle name="Normal 4 2 2 3 4 6 4" xfId="19469" xr:uid="{D75D4C2E-83AB-4182-94E8-1F514587B9D6}"/>
    <cellStyle name="Normal 4 2 2 3 4 7" xfId="4724" xr:uid="{00000000-0005-0000-0000-00007F120000}"/>
    <cellStyle name="Normal 4 2 2 3 4 7 2" xfId="13174" xr:uid="{0F6399CA-D3CD-4D5E-B10F-379FB16BC9F9}"/>
    <cellStyle name="Normal 4 2 2 3 4 7 3" xfId="21621" xr:uid="{6BB52E20-20AA-4D3F-AB26-145A765FFC54}"/>
    <cellStyle name="Normal 4 2 2 3 4 8" xfId="8956" xr:uid="{8170DAE1-E90D-4136-9B6B-945E013FDFAF}"/>
    <cellStyle name="Normal 4 2 2 3 4 9" xfId="17404" xr:uid="{74FC00EA-CFD8-4264-B993-27BAE20DDCEC}"/>
    <cellStyle name="Normal 4 2 2 3 5" xfId="816" xr:uid="{00000000-0005-0000-0000-000080120000}"/>
    <cellStyle name="Normal 4 2 2 3 5 2" xfId="3053" xr:uid="{00000000-0005-0000-0000-000081120000}"/>
    <cellStyle name="Normal 4 2 2 3 5 2 2" xfId="7275" xr:uid="{00000000-0005-0000-0000-000082120000}"/>
    <cellStyle name="Normal 4 2 2 3 5 2 2 2" xfId="15725" xr:uid="{9532AADE-92BB-4A7E-954C-02CBC46262E7}"/>
    <cellStyle name="Normal 4 2 2 3 5 2 2 3" xfId="24172" xr:uid="{05CB4BE9-4BF3-4F83-AFAC-7243856C65F4}"/>
    <cellStyle name="Normal 4 2 2 3 5 2 3" xfId="11507" xr:uid="{876F29DC-2D46-4BDA-90CA-82CC92ED4458}"/>
    <cellStyle name="Normal 4 2 2 3 5 2 4" xfId="19955" xr:uid="{C790EABD-45EF-462D-A36C-6462AC010236}"/>
    <cellStyle name="Normal 4 2 2 3 5 3" xfId="5130" xr:uid="{00000000-0005-0000-0000-000083120000}"/>
    <cellStyle name="Normal 4 2 2 3 5 3 2" xfId="13580" xr:uid="{9548C3F9-9138-42A6-93D3-506EDFB05AA4}"/>
    <cellStyle name="Normal 4 2 2 3 5 3 3" xfId="22027" xr:uid="{6C524A15-37F6-46EF-A1EA-EB2F8D1585A5}"/>
    <cellStyle name="Normal 4 2 2 3 5 4" xfId="9362" xr:uid="{450276B0-BDBC-43F8-8BF7-FDEF6F99BD9F}"/>
    <cellStyle name="Normal 4 2 2 3 5 5" xfId="17810" xr:uid="{DE4283A8-162E-4834-B729-44696CF57066}"/>
    <cellStyle name="Normal 4 2 2 3 6" xfId="1236" xr:uid="{00000000-0005-0000-0000-000084120000}"/>
    <cellStyle name="Normal 4 2 2 3 6 2" xfId="3466" xr:uid="{00000000-0005-0000-0000-000085120000}"/>
    <cellStyle name="Normal 4 2 2 3 6 2 2" xfId="7688" xr:uid="{00000000-0005-0000-0000-000086120000}"/>
    <cellStyle name="Normal 4 2 2 3 6 2 2 2" xfId="16138" xr:uid="{F2057689-F359-4744-B5A1-6E20D44C3985}"/>
    <cellStyle name="Normal 4 2 2 3 6 2 2 3" xfId="24585" xr:uid="{D7D382E5-1268-4F49-A390-5BD68C9CE93B}"/>
    <cellStyle name="Normal 4 2 2 3 6 2 3" xfId="11920" xr:uid="{1394126A-0700-41B5-A3F7-75B6616E2B24}"/>
    <cellStyle name="Normal 4 2 2 3 6 2 4" xfId="20368" xr:uid="{49403B4C-060F-4894-BA36-A91FC7A9DC6B}"/>
    <cellStyle name="Normal 4 2 2 3 6 3" xfId="5543" xr:uid="{00000000-0005-0000-0000-000087120000}"/>
    <cellStyle name="Normal 4 2 2 3 6 3 2" xfId="13993" xr:uid="{FF084A7E-863E-43B3-A66D-524048882CF2}"/>
    <cellStyle name="Normal 4 2 2 3 6 3 3" xfId="22440" xr:uid="{142EF580-70A2-4ED9-A81F-9783DE9D597D}"/>
    <cellStyle name="Normal 4 2 2 3 6 4" xfId="9775" xr:uid="{6AC8DFCC-FFA5-44B7-95BE-813FD5B0D250}"/>
    <cellStyle name="Normal 4 2 2 3 6 5" xfId="18223" xr:uid="{BC665FE5-90DA-4E5E-B3AD-1C47EE42F1D3}"/>
    <cellStyle name="Normal 4 2 2 3 7" xfId="1649" xr:uid="{00000000-0005-0000-0000-000088120000}"/>
    <cellStyle name="Normal 4 2 2 3 7 2" xfId="3879" xr:uid="{00000000-0005-0000-0000-000089120000}"/>
    <cellStyle name="Normal 4 2 2 3 7 2 2" xfId="8101" xr:uid="{00000000-0005-0000-0000-00008A120000}"/>
    <cellStyle name="Normal 4 2 2 3 7 2 2 2" xfId="16551" xr:uid="{6CABC88E-E991-4145-8C04-2DADF7DBAA5E}"/>
    <cellStyle name="Normal 4 2 2 3 7 2 2 3" xfId="24998" xr:uid="{EF6E086C-9A06-497E-97E6-E691B311A220}"/>
    <cellStyle name="Normal 4 2 2 3 7 2 3" xfId="12333" xr:uid="{6E97268C-F6DC-416F-8C94-DD7AF43D7B96}"/>
    <cellStyle name="Normal 4 2 2 3 7 2 4" xfId="20781" xr:uid="{BFED402D-1026-4E24-93F8-7252D1F5C4D5}"/>
    <cellStyle name="Normal 4 2 2 3 7 3" xfId="5956" xr:uid="{00000000-0005-0000-0000-00008B120000}"/>
    <cellStyle name="Normal 4 2 2 3 7 3 2" xfId="14406" xr:uid="{B858FC95-1244-4585-9A4A-F7E0CF137E7D}"/>
    <cellStyle name="Normal 4 2 2 3 7 3 3" xfId="22853" xr:uid="{43773AE4-C114-46AC-983B-31BE5A109835}"/>
    <cellStyle name="Normal 4 2 2 3 7 4" xfId="10188" xr:uid="{59DB5DF2-A2E0-4852-9F05-E0CCC5781FB7}"/>
    <cellStyle name="Normal 4 2 2 3 7 5" xfId="18636" xr:uid="{9675D5FD-36D5-448E-9F8E-611FF1BDEBF0}"/>
    <cellStyle name="Normal 4 2 2 3 8" xfId="2063" xr:uid="{00000000-0005-0000-0000-00008C120000}"/>
    <cellStyle name="Normal 4 2 2 3 8 2" xfId="4292" xr:uid="{00000000-0005-0000-0000-00008D120000}"/>
    <cellStyle name="Normal 4 2 2 3 8 2 2" xfId="8514" xr:uid="{00000000-0005-0000-0000-00008E120000}"/>
    <cellStyle name="Normal 4 2 2 3 8 2 2 2" xfId="16964" xr:uid="{BBFDC277-B967-45A4-8187-287436C8B53D}"/>
    <cellStyle name="Normal 4 2 2 3 8 2 2 3" xfId="25411" xr:uid="{5FAA4951-0561-41A7-938D-323F5AF7A88E}"/>
    <cellStyle name="Normal 4 2 2 3 8 2 3" xfId="12746" xr:uid="{86E7472A-75A9-4200-BB0E-D488A99B3F39}"/>
    <cellStyle name="Normal 4 2 2 3 8 2 4" xfId="21194" xr:uid="{B7F36C41-6127-458A-B773-98A763C44536}"/>
    <cellStyle name="Normal 4 2 2 3 8 3" xfId="6369" xr:uid="{00000000-0005-0000-0000-00008F120000}"/>
    <cellStyle name="Normal 4 2 2 3 8 3 2" xfId="14819" xr:uid="{8D697235-7BCB-4375-A585-2F470F7F304B}"/>
    <cellStyle name="Normal 4 2 2 3 8 3 3" xfId="23266" xr:uid="{5FEDA9F3-ED62-42F9-861A-68E3C66C7F4B}"/>
    <cellStyle name="Normal 4 2 2 3 8 4" xfId="10601" xr:uid="{C12F4D41-C97A-4586-98E0-3658127C7C7D}"/>
    <cellStyle name="Normal 4 2 2 3 8 5" xfId="19049" xr:uid="{7CBA456F-D7DE-4F10-B18C-50C98297F267}"/>
    <cellStyle name="Normal 4 2 2 3 9" xfId="2499" xr:uid="{00000000-0005-0000-0000-000090120000}"/>
    <cellStyle name="Normal 4 2 2 3 9 2" xfId="6782" xr:uid="{00000000-0005-0000-0000-000091120000}"/>
    <cellStyle name="Normal 4 2 2 3 9 2 2" xfId="15232" xr:uid="{F0771444-6E40-4B91-BFAF-FC863CAC3E06}"/>
    <cellStyle name="Normal 4 2 2 3 9 2 3" xfId="23679" xr:uid="{A8CDD597-310A-48AB-9E2F-C93F5B4A9674}"/>
    <cellStyle name="Normal 4 2 2 3 9 3" xfId="11014" xr:uid="{43D50027-252A-4B7A-BD22-ED2B904A8BDB}"/>
    <cellStyle name="Normal 4 2 2 3 9 4" xfId="19462" xr:uid="{61A0A30D-53FB-41DC-834B-7F6771F7C180}"/>
    <cellStyle name="Normal 4 2 2 4" xfId="347" xr:uid="{00000000-0005-0000-0000-000092120000}"/>
    <cellStyle name="Normal 4 2 2 4 10" xfId="8957" xr:uid="{A6041AEC-6DE2-4EA4-A2DD-47EF677BCCD4}"/>
    <cellStyle name="Normal 4 2 2 4 11" xfId="17405" xr:uid="{F4D9156E-972C-4FB0-843D-2CCD4E3499D2}"/>
    <cellStyle name="Normal 4 2 2 4 2" xfId="348" xr:uid="{00000000-0005-0000-0000-000093120000}"/>
    <cellStyle name="Normal 4 2 2 4 2 10" xfId="17406" xr:uid="{A96FE695-FFB6-4E1D-901B-9749D34FD597}"/>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2 2 2" xfId="15735" xr:uid="{3D087670-0A1F-47E5-92BE-8DA9B2A6911E}"/>
    <cellStyle name="Normal 4 2 2 4 2 2 2 2 2 3" xfId="24182" xr:uid="{DEC93A09-FF71-4DA5-A83B-39BE9A6B43B4}"/>
    <cellStyle name="Normal 4 2 2 4 2 2 2 2 3" xfId="11517" xr:uid="{3BE04220-07D0-45EF-989B-2CB890F5800F}"/>
    <cellStyle name="Normal 4 2 2 4 2 2 2 2 4" xfId="19965" xr:uid="{47EF053F-CF02-48C1-98C5-1ACB9BECAC48}"/>
    <cellStyle name="Normal 4 2 2 4 2 2 2 3" xfId="5140" xr:uid="{00000000-0005-0000-0000-000098120000}"/>
    <cellStyle name="Normal 4 2 2 4 2 2 2 3 2" xfId="13590" xr:uid="{D7F29C1B-815F-4146-9BAA-7476A16C0F20}"/>
    <cellStyle name="Normal 4 2 2 4 2 2 2 3 3" xfId="22037" xr:uid="{C13B7A71-4073-4FAB-A941-900A0E6DF4A6}"/>
    <cellStyle name="Normal 4 2 2 4 2 2 2 4" xfId="9372" xr:uid="{EE2E80E8-6249-44EE-89A9-D12006187794}"/>
    <cellStyle name="Normal 4 2 2 4 2 2 2 5" xfId="17820" xr:uid="{4CF3B7CB-FDE4-4232-8D05-67B11918F9E4}"/>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2 2 2" xfId="16148" xr:uid="{8C4DE54D-28B2-42D1-85E3-5E2E162F41A6}"/>
    <cellStyle name="Normal 4 2 2 4 2 2 3 2 2 3" xfId="24595" xr:uid="{4E3B02FA-A071-41D0-89F0-AEC2530E4ED4}"/>
    <cellStyle name="Normal 4 2 2 4 2 2 3 2 3" xfId="11930" xr:uid="{D0492C4E-F235-410B-BB64-6C9FE9AADEB3}"/>
    <cellStyle name="Normal 4 2 2 4 2 2 3 2 4" xfId="20378" xr:uid="{782A3F0B-A806-4A4B-BDB6-80953226D289}"/>
    <cellStyle name="Normal 4 2 2 4 2 2 3 3" xfId="5553" xr:uid="{00000000-0005-0000-0000-00009C120000}"/>
    <cellStyle name="Normal 4 2 2 4 2 2 3 3 2" xfId="14003" xr:uid="{C17CD7AC-50BC-45ED-B19A-BC689C46B6D5}"/>
    <cellStyle name="Normal 4 2 2 4 2 2 3 3 3" xfId="22450" xr:uid="{23B1C844-9A1B-44FA-A209-3EAB8D97E81E}"/>
    <cellStyle name="Normal 4 2 2 4 2 2 3 4" xfId="9785" xr:uid="{22B41F92-35ED-4CF1-893A-8D9D5F641B6B}"/>
    <cellStyle name="Normal 4 2 2 4 2 2 3 5" xfId="18233" xr:uid="{940D2AC6-77FF-428F-A6D5-E0C1FA2AC9EB}"/>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2 2 2" xfId="16561" xr:uid="{6B465E0D-1E37-41A0-A9E8-E077C5FBDBB3}"/>
    <cellStyle name="Normal 4 2 2 4 2 2 4 2 2 3" xfId="25008" xr:uid="{E46B8092-B72C-4BC7-B5A9-BAA21D2E5EB3}"/>
    <cellStyle name="Normal 4 2 2 4 2 2 4 2 3" xfId="12343" xr:uid="{08AD4313-524D-4742-B52D-DCA8A5C97FC5}"/>
    <cellStyle name="Normal 4 2 2 4 2 2 4 2 4" xfId="20791" xr:uid="{083393ED-AA80-4E74-AE1E-C0AF934C1AD8}"/>
    <cellStyle name="Normal 4 2 2 4 2 2 4 3" xfId="5966" xr:uid="{00000000-0005-0000-0000-0000A0120000}"/>
    <cellStyle name="Normal 4 2 2 4 2 2 4 3 2" xfId="14416" xr:uid="{B237B910-9F64-4B88-AF4E-2F2384A95452}"/>
    <cellStyle name="Normal 4 2 2 4 2 2 4 3 3" xfId="22863" xr:uid="{C1F9EDAE-A329-4015-B00D-7FB8B439B29E}"/>
    <cellStyle name="Normal 4 2 2 4 2 2 4 4" xfId="10198" xr:uid="{529A0DE7-609A-4427-8112-0F30A20B0F6A}"/>
    <cellStyle name="Normal 4 2 2 4 2 2 4 5" xfId="18646" xr:uid="{306194CC-FECB-48BC-B252-DD1363F67EF9}"/>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2 2 2" xfId="16974" xr:uid="{0D3C9DEF-06F5-44D6-941A-A39A69F1AB64}"/>
    <cellStyle name="Normal 4 2 2 4 2 2 5 2 2 3" xfId="25421" xr:uid="{18BBBB16-C767-48B8-9281-5D1E023B42F6}"/>
    <cellStyle name="Normal 4 2 2 4 2 2 5 2 3" xfId="12756" xr:uid="{49022BAE-4CB4-4DFF-BC01-A274C4217C48}"/>
    <cellStyle name="Normal 4 2 2 4 2 2 5 2 4" xfId="21204" xr:uid="{29C7DB6C-E0E6-4CAE-A88C-EE64E3A1AE57}"/>
    <cellStyle name="Normal 4 2 2 4 2 2 5 3" xfId="6379" xr:uid="{00000000-0005-0000-0000-0000A4120000}"/>
    <cellStyle name="Normal 4 2 2 4 2 2 5 3 2" xfId="14829" xr:uid="{D2E35A8A-BAC3-42D7-89BD-B1B0F254B1E7}"/>
    <cellStyle name="Normal 4 2 2 4 2 2 5 3 3" xfId="23276" xr:uid="{0E75A17D-EB3D-4CB2-9BA7-64F7B8CD9AD9}"/>
    <cellStyle name="Normal 4 2 2 4 2 2 5 4" xfId="10611" xr:uid="{0074FBA9-2045-4738-9343-C5A2EAAB3B2D}"/>
    <cellStyle name="Normal 4 2 2 4 2 2 5 5" xfId="19059" xr:uid="{C5AC7048-1ACA-4EF3-825E-456D809DB6F1}"/>
    <cellStyle name="Normal 4 2 2 4 2 2 6" xfId="2509" xr:uid="{00000000-0005-0000-0000-0000A5120000}"/>
    <cellStyle name="Normal 4 2 2 4 2 2 6 2" xfId="6792" xr:uid="{00000000-0005-0000-0000-0000A6120000}"/>
    <cellStyle name="Normal 4 2 2 4 2 2 6 2 2" xfId="15242" xr:uid="{D257FB58-4F10-41C7-A897-A9F79D58AA0F}"/>
    <cellStyle name="Normal 4 2 2 4 2 2 6 2 3" xfId="23689" xr:uid="{3777F11F-8EE5-4197-9422-31EC21467F96}"/>
    <cellStyle name="Normal 4 2 2 4 2 2 6 3" xfId="11024" xr:uid="{F1AF849A-F373-4192-BE82-21DE50D867E9}"/>
    <cellStyle name="Normal 4 2 2 4 2 2 6 4" xfId="19472" xr:uid="{1DD9C330-95D5-43D0-8D4A-06E72C9EC542}"/>
    <cellStyle name="Normal 4 2 2 4 2 2 7" xfId="4727" xr:uid="{00000000-0005-0000-0000-0000A7120000}"/>
    <cellStyle name="Normal 4 2 2 4 2 2 7 2" xfId="13177" xr:uid="{580503CA-A241-47A7-AFCB-DB7F9991A8F6}"/>
    <cellStyle name="Normal 4 2 2 4 2 2 7 3" xfId="21624" xr:uid="{8FA38ADF-0FA1-4806-9EA7-C4FF8C45E1C9}"/>
    <cellStyle name="Normal 4 2 2 4 2 2 8" xfId="8959" xr:uid="{B32A4E5A-4E4A-4161-A572-EA0C3E48F16E}"/>
    <cellStyle name="Normal 4 2 2 4 2 2 9" xfId="17407" xr:uid="{2C92438B-CBC6-4EF8-85C4-6B32F2B55ECC}"/>
    <cellStyle name="Normal 4 2 2 4 2 3" xfId="825" xr:uid="{00000000-0005-0000-0000-0000A8120000}"/>
    <cellStyle name="Normal 4 2 2 4 2 3 2" xfId="3062" xr:uid="{00000000-0005-0000-0000-0000A9120000}"/>
    <cellStyle name="Normal 4 2 2 4 2 3 2 2" xfId="7284" xr:uid="{00000000-0005-0000-0000-0000AA120000}"/>
    <cellStyle name="Normal 4 2 2 4 2 3 2 2 2" xfId="15734" xr:uid="{0C206131-EDE1-442D-8DE6-38F73DB63ED7}"/>
    <cellStyle name="Normal 4 2 2 4 2 3 2 2 3" xfId="24181" xr:uid="{A627E335-9D74-4E17-964C-4D712B1C46E0}"/>
    <cellStyle name="Normal 4 2 2 4 2 3 2 3" xfId="11516" xr:uid="{E78A1791-C718-4C09-9B94-50B6E4EA6D96}"/>
    <cellStyle name="Normal 4 2 2 4 2 3 2 4" xfId="19964" xr:uid="{1F286B8E-5D8E-44CB-BF7A-0CD397C8CCF6}"/>
    <cellStyle name="Normal 4 2 2 4 2 3 3" xfId="5139" xr:uid="{00000000-0005-0000-0000-0000AB120000}"/>
    <cellStyle name="Normal 4 2 2 4 2 3 3 2" xfId="13589" xr:uid="{0C2E057D-71C1-4B15-99CD-94F2B2AE4056}"/>
    <cellStyle name="Normal 4 2 2 4 2 3 3 3" xfId="22036" xr:uid="{5F022ABF-86A8-466C-9477-97582E0C151C}"/>
    <cellStyle name="Normal 4 2 2 4 2 3 4" xfId="9371" xr:uid="{C4F17218-804E-4352-856F-8F544E19E811}"/>
    <cellStyle name="Normal 4 2 2 4 2 3 5" xfId="17819" xr:uid="{E6CB541D-D844-4D9E-B032-D81754F81977}"/>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2 2 2" xfId="16147" xr:uid="{D1B41759-0DAB-4F02-85E1-CECC8A7FF0C2}"/>
    <cellStyle name="Normal 4 2 2 4 2 4 2 2 3" xfId="24594" xr:uid="{D03B5FB6-6B94-4E12-9475-D9CEFDBC6AFF}"/>
    <cellStyle name="Normal 4 2 2 4 2 4 2 3" xfId="11929" xr:uid="{28B6859C-C670-4D85-B62C-9B1C9781F1A3}"/>
    <cellStyle name="Normal 4 2 2 4 2 4 2 4" xfId="20377" xr:uid="{3762613F-0BBB-478A-97E5-1D4508F23D65}"/>
    <cellStyle name="Normal 4 2 2 4 2 4 3" xfId="5552" xr:uid="{00000000-0005-0000-0000-0000AF120000}"/>
    <cellStyle name="Normal 4 2 2 4 2 4 3 2" xfId="14002" xr:uid="{71DEF1F0-1D42-43CF-A54D-5BF03CECC302}"/>
    <cellStyle name="Normal 4 2 2 4 2 4 3 3" xfId="22449" xr:uid="{1E068142-8433-4829-9590-0E7CA4A41097}"/>
    <cellStyle name="Normal 4 2 2 4 2 4 4" xfId="9784" xr:uid="{0236AAA3-E3F6-4C35-8A39-54A51ADA9324}"/>
    <cellStyle name="Normal 4 2 2 4 2 4 5" xfId="18232" xr:uid="{B35EF879-101C-4673-B876-B462751EB32B}"/>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2 2 2" xfId="16560" xr:uid="{31B42883-7CD8-407D-9AB6-250185397EFD}"/>
    <cellStyle name="Normal 4 2 2 4 2 5 2 2 3" xfId="25007" xr:uid="{992117FC-2A12-4DE2-AC0E-32AC0B2C6D34}"/>
    <cellStyle name="Normal 4 2 2 4 2 5 2 3" xfId="12342" xr:uid="{C46D6200-07DC-407B-8F5A-291677EFF15E}"/>
    <cellStyle name="Normal 4 2 2 4 2 5 2 4" xfId="20790" xr:uid="{30A61847-1BD5-4C6B-959E-1ED24005E2A3}"/>
    <cellStyle name="Normal 4 2 2 4 2 5 3" xfId="5965" xr:uid="{00000000-0005-0000-0000-0000B3120000}"/>
    <cellStyle name="Normal 4 2 2 4 2 5 3 2" xfId="14415" xr:uid="{9232594A-9735-48DA-9437-1481648B46EE}"/>
    <cellStyle name="Normal 4 2 2 4 2 5 3 3" xfId="22862" xr:uid="{76D2622E-4FCC-477F-B494-4EC2DC8099A3}"/>
    <cellStyle name="Normal 4 2 2 4 2 5 4" xfId="10197" xr:uid="{F8C6078D-F8B0-4598-8033-E53C3A9C68B6}"/>
    <cellStyle name="Normal 4 2 2 4 2 5 5" xfId="18645" xr:uid="{3F11B606-0194-4C7F-B2BF-9E0732D11E66}"/>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2 2 2" xfId="16973" xr:uid="{88C2D5BF-0FB4-45AF-8A35-823BDFAE2146}"/>
    <cellStyle name="Normal 4 2 2 4 2 6 2 2 3" xfId="25420" xr:uid="{8602CCA4-9945-406E-B99A-472E190199D4}"/>
    <cellStyle name="Normal 4 2 2 4 2 6 2 3" xfId="12755" xr:uid="{118B9F3D-08CE-4B25-AD4F-E69A40ABA41B}"/>
    <cellStyle name="Normal 4 2 2 4 2 6 2 4" xfId="21203" xr:uid="{1334290A-662F-4E7F-802F-DE7CAE1B0740}"/>
    <cellStyle name="Normal 4 2 2 4 2 6 3" xfId="6378" xr:uid="{00000000-0005-0000-0000-0000B7120000}"/>
    <cellStyle name="Normal 4 2 2 4 2 6 3 2" xfId="14828" xr:uid="{E6554BB6-0D82-4035-AEFC-9E65197343D9}"/>
    <cellStyle name="Normal 4 2 2 4 2 6 3 3" xfId="23275" xr:uid="{7E4D65A6-4C69-4419-BA29-B1EC0C78E8C0}"/>
    <cellStyle name="Normal 4 2 2 4 2 6 4" xfId="10610" xr:uid="{B05BA807-AC18-4696-9DE5-99EC185B5A30}"/>
    <cellStyle name="Normal 4 2 2 4 2 6 5" xfId="19058" xr:uid="{BF6C3AE0-FD17-42BA-880F-3186E624F801}"/>
    <cellStyle name="Normal 4 2 2 4 2 7" xfId="2508" xr:uid="{00000000-0005-0000-0000-0000B8120000}"/>
    <cellStyle name="Normal 4 2 2 4 2 7 2" xfId="6791" xr:uid="{00000000-0005-0000-0000-0000B9120000}"/>
    <cellStyle name="Normal 4 2 2 4 2 7 2 2" xfId="15241" xr:uid="{F611A2FB-5C47-4E5B-A491-3C79F04EBBD4}"/>
    <cellStyle name="Normal 4 2 2 4 2 7 2 3" xfId="23688" xr:uid="{F76D5D51-82AC-4104-8E38-E6D3ABC1CDF4}"/>
    <cellStyle name="Normal 4 2 2 4 2 7 3" xfId="11023" xr:uid="{D1D76821-698B-4ED8-A323-6F2AB2CA2870}"/>
    <cellStyle name="Normal 4 2 2 4 2 7 4" xfId="19471" xr:uid="{0E32B0F2-E924-4F6C-B2FB-0C44EC6D8DA4}"/>
    <cellStyle name="Normal 4 2 2 4 2 8" xfId="4726" xr:uid="{00000000-0005-0000-0000-0000BA120000}"/>
    <cellStyle name="Normal 4 2 2 4 2 8 2" xfId="13176" xr:uid="{D903F19B-3167-4231-BC39-BCAC6E58B246}"/>
    <cellStyle name="Normal 4 2 2 4 2 8 3" xfId="21623" xr:uid="{EF1AEC11-F482-4407-B1A9-7BDCD8160C64}"/>
    <cellStyle name="Normal 4 2 2 4 2 9" xfId="8958" xr:uid="{92A69A2C-44EC-4E38-8243-94A26DC54CBE}"/>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2 2 2" xfId="15736" xr:uid="{43E6AE42-004D-4AEC-882A-3365DB181D6C}"/>
    <cellStyle name="Normal 4 2 2 4 3 2 2 2 3" xfId="24183" xr:uid="{FB52310E-76F5-4C83-B576-62DC5290200D}"/>
    <cellStyle name="Normal 4 2 2 4 3 2 2 3" xfId="11518" xr:uid="{A679EFDB-E2B2-45F8-BB01-EC7F718B1518}"/>
    <cellStyle name="Normal 4 2 2 4 3 2 2 4" xfId="19966" xr:uid="{9385C636-E02C-452E-83EC-FA6B6679C23E}"/>
    <cellStyle name="Normal 4 2 2 4 3 2 3" xfId="5141" xr:uid="{00000000-0005-0000-0000-0000BF120000}"/>
    <cellStyle name="Normal 4 2 2 4 3 2 3 2" xfId="13591" xr:uid="{110DE477-B9A0-4C7E-A250-89D5A5DFD825}"/>
    <cellStyle name="Normal 4 2 2 4 3 2 3 3" xfId="22038" xr:uid="{0688BD41-C3CF-4B69-AFE9-0B52EE8219CE}"/>
    <cellStyle name="Normal 4 2 2 4 3 2 4" xfId="9373" xr:uid="{5E31383C-E9C0-407F-AB33-E961F78C8314}"/>
    <cellStyle name="Normal 4 2 2 4 3 2 5" xfId="17821" xr:uid="{D3478FE5-54C8-4B50-9362-1EAC43AE129C}"/>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2 2 2" xfId="16149" xr:uid="{62A54E7D-3E9A-49F5-85E8-320BE661239D}"/>
    <cellStyle name="Normal 4 2 2 4 3 3 2 2 3" xfId="24596" xr:uid="{0CF97B8E-E966-4CC6-9753-0CE3A03B212B}"/>
    <cellStyle name="Normal 4 2 2 4 3 3 2 3" xfId="11931" xr:uid="{41AD2DB7-5A40-4568-B9CF-659C576B4E4E}"/>
    <cellStyle name="Normal 4 2 2 4 3 3 2 4" xfId="20379" xr:uid="{2697F4BA-5146-4C49-8872-3D6ADF9C5F98}"/>
    <cellStyle name="Normal 4 2 2 4 3 3 3" xfId="5554" xr:uid="{00000000-0005-0000-0000-0000C3120000}"/>
    <cellStyle name="Normal 4 2 2 4 3 3 3 2" xfId="14004" xr:uid="{A8E64379-9F90-498F-8A24-32A91B5D75FF}"/>
    <cellStyle name="Normal 4 2 2 4 3 3 3 3" xfId="22451" xr:uid="{D3A282A7-35B5-4489-B073-09004F9E6137}"/>
    <cellStyle name="Normal 4 2 2 4 3 3 4" xfId="9786" xr:uid="{B411C86E-2747-49A2-B2B7-5F7E7624917D}"/>
    <cellStyle name="Normal 4 2 2 4 3 3 5" xfId="18234" xr:uid="{836FCCA4-5B6F-4C2F-8892-A12A04433B3F}"/>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2 2 2" xfId="16562" xr:uid="{EE02A867-D7B9-4335-8774-D244ACD63A2C}"/>
    <cellStyle name="Normal 4 2 2 4 3 4 2 2 3" xfId="25009" xr:uid="{B95BF607-08A7-48F5-B883-6ACD90D132A5}"/>
    <cellStyle name="Normal 4 2 2 4 3 4 2 3" xfId="12344" xr:uid="{47A617BF-4111-412F-BE42-02EE95D213C2}"/>
    <cellStyle name="Normal 4 2 2 4 3 4 2 4" xfId="20792" xr:uid="{F81085F7-9922-47B1-B1AE-767E8B1F6D17}"/>
    <cellStyle name="Normal 4 2 2 4 3 4 3" xfId="5967" xr:uid="{00000000-0005-0000-0000-0000C7120000}"/>
    <cellStyle name="Normal 4 2 2 4 3 4 3 2" xfId="14417" xr:uid="{6A0350B9-C9E8-4346-B616-5D180E02EA80}"/>
    <cellStyle name="Normal 4 2 2 4 3 4 3 3" xfId="22864" xr:uid="{BD736DE2-C248-4332-8A1B-10D2CEB22FB7}"/>
    <cellStyle name="Normal 4 2 2 4 3 4 4" xfId="10199" xr:uid="{B4E7A9F0-8BC9-4F54-9709-9E3222D82274}"/>
    <cellStyle name="Normal 4 2 2 4 3 4 5" xfId="18647" xr:uid="{1E7AA130-3177-491C-82E7-CC3E98ED8A19}"/>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2 2 2" xfId="16975" xr:uid="{C1B8795D-A796-4412-981C-8AE131399504}"/>
    <cellStyle name="Normal 4 2 2 4 3 5 2 2 3" xfId="25422" xr:uid="{F6955A2D-D055-43DB-9F80-75FF4B66BDD0}"/>
    <cellStyle name="Normal 4 2 2 4 3 5 2 3" xfId="12757" xr:uid="{27E71001-9A59-4B1D-AB93-5C7F9985587C}"/>
    <cellStyle name="Normal 4 2 2 4 3 5 2 4" xfId="21205" xr:uid="{EA6223CA-171E-4E77-8EF6-2EDB854EBFDE}"/>
    <cellStyle name="Normal 4 2 2 4 3 5 3" xfId="6380" xr:uid="{00000000-0005-0000-0000-0000CB120000}"/>
    <cellStyle name="Normal 4 2 2 4 3 5 3 2" xfId="14830" xr:uid="{AF7E857B-CEB8-4D5E-8526-8325A048E203}"/>
    <cellStyle name="Normal 4 2 2 4 3 5 3 3" xfId="23277" xr:uid="{768FBBBB-A83C-43DE-B79E-E7F2E008E71A}"/>
    <cellStyle name="Normal 4 2 2 4 3 5 4" xfId="10612" xr:uid="{E78084C8-E916-404D-A179-8C98CC163F78}"/>
    <cellStyle name="Normal 4 2 2 4 3 5 5" xfId="19060" xr:uid="{D23FDC7C-FAA8-43F8-A67C-F8DC9689D715}"/>
    <cellStyle name="Normal 4 2 2 4 3 6" xfId="2510" xr:uid="{00000000-0005-0000-0000-0000CC120000}"/>
    <cellStyle name="Normal 4 2 2 4 3 6 2" xfId="6793" xr:uid="{00000000-0005-0000-0000-0000CD120000}"/>
    <cellStyle name="Normal 4 2 2 4 3 6 2 2" xfId="15243" xr:uid="{344CDACE-EAA1-4E8D-AE16-59EFE0140B68}"/>
    <cellStyle name="Normal 4 2 2 4 3 6 2 3" xfId="23690" xr:uid="{DE1752AE-2DD6-4D40-AE70-44292234A105}"/>
    <cellStyle name="Normal 4 2 2 4 3 6 3" xfId="11025" xr:uid="{F327C503-63BF-455C-A9AD-74046A36985B}"/>
    <cellStyle name="Normal 4 2 2 4 3 6 4" xfId="19473" xr:uid="{A71F7B22-A082-46C5-9360-36EE26A29EBF}"/>
    <cellStyle name="Normal 4 2 2 4 3 7" xfId="4728" xr:uid="{00000000-0005-0000-0000-0000CE120000}"/>
    <cellStyle name="Normal 4 2 2 4 3 7 2" xfId="13178" xr:uid="{1EEB5373-C146-4CF0-8133-4DAE02E40C44}"/>
    <cellStyle name="Normal 4 2 2 4 3 7 3" xfId="21625" xr:uid="{83CBD9B4-D9B8-43D0-AB56-88A15DFD609D}"/>
    <cellStyle name="Normal 4 2 2 4 3 8" xfId="8960" xr:uid="{AC4BD02E-FEE0-4121-A136-CDA77D1E46A0}"/>
    <cellStyle name="Normal 4 2 2 4 3 9" xfId="17408" xr:uid="{F966DED2-1976-44D0-88FC-6D42C0A356CF}"/>
    <cellStyle name="Normal 4 2 2 4 4" xfId="824" xr:uid="{00000000-0005-0000-0000-0000CF120000}"/>
    <cellStyle name="Normal 4 2 2 4 4 2" xfId="3061" xr:uid="{00000000-0005-0000-0000-0000D0120000}"/>
    <cellStyle name="Normal 4 2 2 4 4 2 2" xfId="7283" xr:uid="{00000000-0005-0000-0000-0000D1120000}"/>
    <cellStyle name="Normal 4 2 2 4 4 2 2 2" xfId="15733" xr:uid="{12BFEDE1-D8B1-408D-A5FF-F2A8AFDDC7CA}"/>
    <cellStyle name="Normal 4 2 2 4 4 2 2 3" xfId="24180" xr:uid="{78649F33-6AFE-42FD-8FA9-9AD8ACC64DF1}"/>
    <cellStyle name="Normal 4 2 2 4 4 2 3" xfId="11515" xr:uid="{2623699F-3DD3-4D7B-A1DA-9D3800777E20}"/>
    <cellStyle name="Normal 4 2 2 4 4 2 4" xfId="19963" xr:uid="{7823DB6D-2BFE-4235-B0FF-857566808824}"/>
    <cellStyle name="Normal 4 2 2 4 4 3" xfId="5138" xr:uid="{00000000-0005-0000-0000-0000D2120000}"/>
    <cellStyle name="Normal 4 2 2 4 4 3 2" xfId="13588" xr:uid="{29BA39C4-AA62-4B75-ADDB-281558AC152A}"/>
    <cellStyle name="Normal 4 2 2 4 4 3 3" xfId="22035" xr:uid="{9DAF5F53-02C4-4E12-B53F-11AD540D17D4}"/>
    <cellStyle name="Normal 4 2 2 4 4 4" xfId="9370" xr:uid="{E2959970-8200-47F9-B1C9-33F4A9CBE44E}"/>
    <cellStyle name="Normal 4 2 2 4 4 5" xfId="17818" xr:uid="{FD4EC81B-8627-4F1C-BC83-FDC59B3C8F2C}"/>
    <cellStyle name="Normal 4 2 2 4 5" xfId="1244" xr:uid="{00000000-0005-0000-0000-0000D3120000}"/>
    <cellStyle name="Normal 4 2 2 4 5 2" xfId="3474" xr:uid="{00000000-0005-0000-0000-0000D4120000}"/>
    <cellStyle name="Normal 4 2 2 4 5 2 2" xfId="7696" xr:uid="{00000000-0005-0000-0000-0000D5120000}"/>
    <cellStyle name="Normal 4 2 2 4 5 2 2 2" xfId="16146" xr:uid="{1EF54CB3-6424-4F0E-BE79-85E5A86373BD}"/>
    <cellStyle name="Normal 4 2 2 4 5 2 2 3" xfId="24593" xr:uid="{2E851592-27C7-4B4C-9069-BC83F7C8DB58}"/>
    <cellStyle name="Normal 4 2 2 4 5 2 3" xfId="11928" xr:uid="{052A9B37-8B2C-4D15-A74F-EEBD7EE5359E}"/>
    <cellStyle name="Normal 4 2 2 4 5 2 4" xfId="20376" xr:uid="{93E2E788-DA73-4A2D-B34E-801719C3863D}"/>
    <cellStyle name="Normal 4 2 2 4 5 3" xfId="5551" xr:uid="{00000000-0005-0000-0000-0000D6120000}"/>
    <cellStyle name="Normal 4 2 2 4 5 3 2" xfId="14001" xr:uid="{07563DEE-DA37-4B45-93B9-1CBE74FAF9C8}"/>
    <cellStyle name="Normal 4 2 2 4 5 3 3" xfId="22448" xr:uid="{89E53801-1B0D-4D72-A8D2-957E1BA2959C}"/>
    <cellStyle name="Normal 4 2 2 4 5 4" xfId="9783" xr:uid="{131C7FDD-B382-4ACA-AA92-46D8BFC365BB}"/>
    <cellStyle name="Normal 4 2 2 4 5 5" xfId="18231" xr:uid="{093F3572-8194-4BC1-9637-B73ECB5B8A92}"/>
    <cellStyle name="Normal 4 2 2 4 6" xfId="1657" xr:uid="{00000000-0005-0000-0000-0000D7120000}"/>
    <cellStyle name="Normal 4 2 2 4 6 2" xfId="3887" xr:uid="{00000000-0005-0000-0000-0000D8120000}"/>
    <cellStyle name="Normal 4 2 2 4 6 2 2" xfId="8109" xr:uid="{00000000-0005-0000-0000-0000D9120000}"/>
    <cellStyle name="Normal 4 2 2 4 6 2 2 2" xfId="16559" xr:uid="{63DBF065-DE4A-4B45-B717-BB1BECD016F6}"/>
    <cellStyle name="Normal 4 2 2 4 6 2 2 3" xfId="25006" xr:uid="{DF608772-25AB-4DC8-A5A6-A194126A8D9C}"/>
    <cellStyle name="Normal 4 2 2 4 6 2 3" xfId="12341" xr:uid="{F62A3AC8-D8D8-484B-AA23-D8D2207DA5E9}"/>
    <cellStyle name="Normal 4 2 2 4 6 2 4" xfId="20789" xr:uid="{D8A9C182-1C1A-4493-A926-522AE8DE5015}"/>
    <cellStyle name="Normal 4 2 2 4 6 3" xfId="5964" xr:uid="{00000000-0005-0000-0000-0000DA120000}"/>
    <cellStyle name="Normal 4 2 2 4 6 3 2" xfId="14414" xr:uid="{103DD66E-EB3B-4974-8AA1-0917EA1F78F9}"/>
    <cellStyle name="Normal 4 2 2 4 6 3 3" xfId="22861" xr:uid="{1880C2F4-969B-45C5-8FEC-B22F9C4ACFD5}"/>
    <cellStyle name="Normal 4 2 2 4 6 4" xfId="10196" xr:uid="{36D2EAAA-9673-44C4-A833-2D9A69622A54}"/>
    <cellStyle name="Normal 4 2 2 4 6 5" xfId="18644" xr:uid="{C1709CFD-38BD-4C02-8DCD-A241F7523E72}"/>
    <cellStyle name="Normal 4 2 2 4 7" xfId="2071" xr:uid="{00000000-0005-0000-0000-0000DB120000}"/>
    <cellStyle name="Normal 4 2 2 4 7 2" xfId="4300" xr:uid="{00000000-0005-0000-0000-0000DC120000}"/>
    <cellStyle name="Normal 4 2 2 4 7 2 2" xfId="8522" xr:uid="{00000000-0005-0000-0000-0000DD120000}"/>
    <cellStyle name="Normal 4 2 2 4 7 2 2 2" xfId="16972" xr:uid="{D88E54CD-4E88-40D8-B3FD-6D3728F6C81F}"/>
    <cellStyle name="Normal 4 2 2 4 7 2 2 3" xfId="25419" xr:uid="{92024B1E-4DE3-4EC7-9D51-21E8299A5D7F}"/>
    <cellStyle name="Normal 4 2 2 4 7 2 3" xfId="12754" xr:uid="{105636AF-B0FD-4B26-BEAE-DB0B54B7CA0E}"/>
    <cellStyle name="Normal 4 2 2 4 7 2 4" xfId="21202" xr:uid="{E5C2CB5F-0358-4D06-B632-60DA9BE94981}"/>
    <cellStyle name="Normal 4 2 2 4 7 3" xfId="6377" xr:uid="{00000000-0005-0000-0000-0000DE120000}"/>
    <cellStyle name="Normal 4 2 2 4 7 3 2" xfId="14827" xr:uid="{E709C32D-0418-4B28-8F1E-FE2B781D4239}"/>
    <cellStyle name="Normal 4 2 2 4 7 3 3" xfId="23274" xr:uid="{5720A3E3-7ED5-4074-BBA8-B29F7D12CE50}"/>
    <cellStyle name="Normal 4 2 2 4 7 4" xfId="10609" xr:uid="{A3CF57B1-EA60-407A-8D92-CB1CA2C76EF0}"/>
    <cellStyle name="Normal 4 2 2 4 7 5" xfId="19057" xr:uid="{CACEDA71-67F2-4478-9062-366798990807}"/>
    <cellStyle name="Normal 4 2 2 4 8" xfId="2507" xr:uid="{00000000-0005-0000-0000-0000DF120000}"/>
    <cellStyle name="Normal 4 2 2 4 8 2" xfId="6790" xr:uid="{00000000-0005-0000-0000-0000E0120000}"/>
    <cellStyle name="Normal 4 2 2 4 8 2 2" xfId="15240" xr:uid="{1394DA5E-987E-4EE7-B3D4-1FFE7EB3C5F8}"/>
    <cellStyle name="Normal 4 2 2 4 8 2 3" xfId="23687" xr:uid="{0A194612-DD29-4FBB-B946-7A71613F9501}"/>
    <cellStyle name="Normal 4 2 2 4 8 3" xfId="11022" xr:uid="{568F3E01-EE90-4B8F-8DFD-267FB67E422E}"/>
    <cellStyle name="Normal 4 2 2 4 8 4" xfId="19470" xr:uid="{294DCEE4-A2B3-487D-9769-3DE502A5B2DB}"/>
    <cellStyle name="Normal 4 2 2 4 9" xfId="4725" xr:uid="{00000000-0005-0000-0000-0000E1120000}"/>
    <cellStyle name="Normal 4 2 2 4 9 2" xfId="13175" xr:uid="{0FAA3B92-EAA4-494F-A9A7-2D9F1556716A}"/>
    <cellStyle name="Normal 4 2 2 4 9 3" xfId="21622" xr:uid="{360C92C1-80DB-4E12-B565-C25C8D78EDBB}"/>
    <cellStyle name="Normal 4 2 2 5" xfId="351" xr:uid="{00000000-0005-0000-0000-0000E2120000}"/>
    <cellStyle name="Normal 4 2 2 5 10" xfId="17409" xr:uid="{FE99980D-077C-4238-A01F-873A69FC5B5B}"/>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2 2 2" xfId="15738" xr:uid="{423F3F65-1570-44CF-9BAE-E9A31EBF4724}"/>
    <cellStyle name="Normal 4 2 2 5 2 2 2 2 3" xfId="24185" xr:uid="{9B9F620C-1BE0-4530-AFA6-3373A5D7049B}"/>
    <cellStyle name="Normal 4 2 2 5 2 2 2 3" xfId="11520" xr:uid="{18719241-97D1-4230-BBBB-2732CB7DBDDF}"/>
    <cellStyle name="Normal 4 2 2 5 2 2 2 4" xfId="19968" xr:uid="{C4ECC642-719F-424C-A125-40FDA4325572}"/>
    <cellStyle name="Normal 4 2 2 5 2 2 3" xfId="5143" xr:uid="{00000000-0005-0000-0000-0000E7120000}"/>
    <cellStyle name="Normal 4 2 2 5 2 2 3 2" xfId="13593" xr:uid="{1DFED55C-BC53-46A4-93FF-3280ABA26D44}"/>
    <cellStyle name="Normal 4 2 2 5 2 2 3 3" xfId="22040" xr:uid="{08D13A93-0A64-42C3-8702-3C03CD15F4DE}"/>
    <cellStyle name="Normal 4 2 2 5 2 2 4" xfId="9375" xr:uid="{60D446EA-0764-4E53-9E6C-FEE64E494196}"/>
    <cellStyle name="Normal 4 2 2 5 2 2 5" xfId="17823" xr:uid="{E853136D-B3CD-4BE0-9BCD-A98945691A8B}"/>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2 2 2" xfId="16151" xr:uid="{611AE4FE-121B-4125-A1BC-49BDD2DB1582}"/>
    <cellStyle name="Normal 4 2 2 5 2 3 2 2 3" xfId="24598" xr:uid="{DC4B1D3E-914C-463F-B3BF-E9CA7B7263B2}"/>
    <cellStyle name="Normal 4 2 2 5 2 3 2 3" xfId="11933" xr:uid="{86FD8874-B20B-45BA-BE08-D5664D89468E}"/>
    <cellStyle name="Normal 4 2 2 5 2 3 2 4" xfId="20381" xr:uid="{31305174-3BC0-4D6C-80E2-B985FA31EDE6}"/>
    <cellStyle name="Normal 4 2 2 5 2 3 3" xfId="5556" xr:uid="{00000000-0005-0000-0000-0000EB120000}"/>
    <cellStyle name="Normal 4 2 2 5 2 3 3 2" xfId="14006" xr:uid="{B2862091-4D7C-423F-A12D-C25D0D8F616E}"/>
    <cellStyle name="Normal 4 2 2 5 2 3 3 3" xfId="22453" xr:uid="{79C34B30-95A7-487A-9D64-16F80632ADCD}"/>
    <cellStyle name="Normal 4 2 2 5 2 3 4" xfId="9788" xr:uid="{4669F338-12C5-4117-A7EA-C35260721100}"/>
    <cellStyle name="Normal 4 2 2 5 2 3 5" xfId="18236" xr:uid="{93009FDD-40DF-4AD8-9F81-955E99A3AED4}"/>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2 2 2" xfId="16564" xr:uid="{E55B72A0-67C3-4B0D-8F0F-9CE1E4F1CEEB}"/>
    <cellStyle name="Normal 4 2 2 5 2 4 2 2 3" xfId="25011" xr:uid="{94A10DCA-04A5-43A1-BD89-B5DF39898226}"/>
    <cellStyle name="Normal 4 2 2 5 2 4 2 3" xfId="12346" xr:uid="{DF84BB82-1FB0-42AD-A6A8-9D2C9F06D4D1}"/>
    <cellStyle name="Normal 4 2 2 5 2 4 2 4" xfId="20794" xr:uid="{7068A2E4-F79E-4789-A8BC-1824B369EF0D}"/>
    <cellStyle name="Normal 4 2 2 5 2 4 3" xfId="5969" xr:uid="{00000000-0005-0000-0000-0000EF120000}"/>
    <cellStyle name="Normal 4 2 2 5 2 4 3 2" xfId="14419" xr:uid="{EA2AE9F8-935F-441C-AFB7-A69965007E85}"/>
    <cellStyle name="Normal 4 2 2 5 2 4 3 3" xfId="22866" xr:uid="{F8B207B8-016E-4DC5-9686-1C868CADB9B3}"/>
    <cellStyle name="Normal 4 2 2 5 2 4 4" xfId="10201" xr:uid="{54F828DE-1BCF-49ED-B0B4-825F54574F79}"/>
    <cellStyle name="Normal 4 2 2 5 2 4 5" xfId="18649" xr:uid="{C9E74863-45D7-4114-B999-AC8CE0E8D8EC}"/>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2 2 2" xfId="16977" xr:uid="{0FC8044D-FF7E-49AE-9BC7-FB520035AA78}"/>
    <cellStyle name="Normal 4 2 2 5 2 5 2 2 3" xfId="25424" xr:uid="{FBF04F06-B877-425C-803D-C5B89EFBD30F}"/>
    <cellStyle name="Normal 4 2 2 5 2 5 2 3" xfId="12759" xr:uid="{3125AEB4-8981-49CA-A8E5-5FFBDEECDC8B}"/>
    <cellStyle name="Normal 4 2 2 5 2 5 2 4" xfId="21207" xr:uid="{BA9CE3B4-3E90-4CE6-985B-DF60EEAE3149}"/>
    <cellStyle name="Normal 4 2 2 5 2 5 3" xfId="6382" xr:uid="{00000000-0005-0000-0000-0000F3120000}"/>
    <cellStyle name="Normal 4 2 2 5 2 5 3 2" xfId="14832" xr:uid="{65D61F1B-EA59-4C51-80CE-F015429F7ABA}"/>
    <cellStyle name="Normal 4 2 2 5 2 5 3 3" xfId="23279" xr:uid="{9FBAEB90-8BB4-47C9-A606-CD2FBBFD9C37}"/>
    <cellStyle name="Normal 4 2 2 5 2 5 4" xfId="10614" xr:uid="{5E52167E-0DA5-4416-88B7-7D806413FC45}"/>
    <cellStyle name="Normal 4 2 2 5 2 5 5" xfId="19062" xr:uid="{D7919D29-5C41-49FB-BB38-1EB09272B621}"/>
    <cellStyle name="Normal 4 2 2 5 2 6" xfId="2512" xr:uid="{00000000-0005-0000-0000-0000F4120000}"/>
    <cellStyle name="Normal 4 2 2 5 2 6 2" xfId="6795" xr:uid="{00000000-0005-0000-0000-0000F5120000}"/>
    <cellStyle name="Normal 4 2 2 5 2 6 2 2" xfId="15245" xr:uid="{C2985A0E-5D8A-4C81-AE53-FFCDE0F99B4A}"/>
    <cellStyle name="Normal 4 2 2 5 2 6 2 3" xfId="23692" xr:uid="{1589D29E-C441-4D1F-87CE-E43BACC244A0}"/>
    <cellStyle name="Normal 4 2 2 5 2 6 3" xfId="11027" xr:uid="{980C7BEB-38BC-4BD5-9EEF-6BE2E20EDFA4}"/>
    <cellStyle name="Normal 4 2 2 5 2 6 4" xfId="19475" xr:uid="{0300A0C6-1C56-4E5C-87CF-BC070CC13D44}"/>
    <cellStyle name="Normal 4 2 2 5 2 7" xfId="4730" xr:uid="{00000000-0005-0000-0000-0000F6120000}"/>
    <cellStyle name="Normal 4 2 2 5 2 7 2" xfId="13180" xr:uid="{99D4245A-6729-4C9F-835E-CB80D145BA90}"/>
    <cellStyle name="Normal 4 2 2 5 2 7 3" xfId="21627" xr:uid="{91AA9DD8-C631-4FED-A37B-0FFAAE03B715}"/>
    <cellStyle name="Normal 4 2 2 5 2 8" xfId="8962" xr:uid="{A50C68A8-5904-459A-B6A0-32167D921FDE}"/>
    <cellStyle name="Normal 4 2 2 5 2 9" xfId="17410" xr:uid="{E0BFF5AB-B1BA-4939-8C94-E634E4087655}"/>
    <cellStyle name="Normal 4 2 2 5 3" xfId="828" xr:uid="{00000000-0005-0000-0000-0000F7120000}"/>
    <cellStyle name="Normal 4 2 2 5 3 2" xfId="3065" xr:uid="{00000000-0005-0000-0000-0000F8120000}"/>
    <cellStyle name="Normal 4 2 2 5 3 2 2" xfId="7287" xr:uid="{00000000-0005-0000-0000-0000F9120000}"/>
    <cellStyle name="Normal 4 2 2 5 3 2 2 2" xfId="15737" xr:uid="{5A77CC61-8D10-476D-BD05-275A91489AC6}"/>
    <cellStyle name="Normal 4 2 2 5 3 2 2 3" xfId="24184" xr:uid="{7E71B962-151B-43B6-A34A-38C2ABCB7816}"/>
    <cellStyle name="Normal 4 2 2 5 3 2 3" xfId="11519" xr:uid="{6CED2880-0E94-4DB2-8575-8CC257DAFF16}"/>
    <cellStyle name="Normal 4 2 2 5 3 2 4" xfId="19967" xr:uid="{80B0518A-CFE7-4E68-B908-531A9764F265}"/>
    <cellStyle name="Normal 4 2 2 5 3 3" xfId="5142" xr:uid="{00000000-0005-0000-0000-0000FA120000}"/>
    <cellStyle name="Normal 4 2 2 5 3 3 2" xfId="13592" xr:uid="{84929927-4555-43B1-965C-FD33EF6B5A77}"/>
    <cellStyle name="Normal 4 2 2 5 3 3 3" xfId="22039" xr:uid="{2F47BCAA-AF63-4C38-881D-77B1EA074EA2}"/>
    <cellStyle name="Normal 4 2 2 5 3 4" xfId="9374" xr:uid="{DD4E2DB5-8F2D-49F2-AF83-80BC9B53A67F}"/>
    <cellStyle name="Normal 4 2 2 5 3 5" xfId="17822" xr:uid="{B506778B-C049-464E-8C5F-14757A2C4D23}"/>
    <cellStyle name="Normal 4 2 2 5 4" xfId="1248" xr:uid="{00000000-0005-0000-0000-0000FB120000}"/>
    <cellStyle name="Normal 4 2 2 5 4 2" xfId="3478" xr:uid="{00000000-0005-0000-0000-0000FC120000}"/>
    <cellStyle name="Normal 4 2 2 5 4 2 2" xfId="7700" xr:uid="{00000000-0005-0000-0000-0000FD120000}"/>
    <cellStyle name="Normal 4 2 2 5 4 2 2 2" xfId="16150" xr:uid="{6E86ED97-544C-4F4D-BABE-74B60C84EBBF}"/>
    <cellStyle name="Normal 4 2 2 5 4 2 2 3" xfId="24597" xr:uid="{CFD6498B-5DE9-40FF-975D-859E7F45E06A}"/>
    <cellStyle name="Normal 4 2 2 5 4 2 3" xfId="11932" xr:uid="{FC944A6F-847B-4DBD-AB0F-6D4C97AB6AF5}"/>
    <cellStyle name="Normal 4 2 2 5 4 2 4" xfId="20380" xr:uid="{572F97D9-28B9-453B-8B48-F39FE7710725}"/>
    <cellStyle name="Normal 4 2 2 5 4 3" xfId="5555" xr:uid="{00000000-0005-0000-0000-0000FE120000}"/>
    <cellStyle name="Normal 4 2 2 5 4 3 2" xfId="14005" xr:uid="{3C93F142-4B52-4E09-88FB-7AE288DF8BCE}"/>
    <cellStyle name="Normal 4 2 2 5 4 3 3" xfId="22452" xr:uid="{60A2D6C2-90DC-4C6D-9910-4A6EE562256B}"/>
    <cellStyle name="Normal 4 2 2 5 4 4" xfId="9787" xr:uid="{5CC74632-0997-4416-9727-98EFAFF1DB07}"/>
    <cellStyle name="Normal 4 2 2 5 4 5" xfId="18235" xr:uid="{32BFD717-1411-417E-9377-FFE04F07F95F}"/>
    <cellStyle name="Normal 4 2 2 5 5" xfId="1661" xr:uid="{00000000-0005-0000-0000-0000FF120000}"/>
    <cellStyle name="Normal 4 2 2 5 5 2" xfId="3891" xr:uid="{00000000-0005-0000-0000-000000130000}"/>
    <cellStyle name="Normal 4 2 2 5 5 2 2" xfId="8113" xr:uid="{00000000-0005-0000-0000-000001130000}"/>
    <cellStyle name="Normal 4 2 2 5 5 2 2 2" xfId="16563" xr:uid="{4EE0DB91-B80F-4FCE-8D94-226F71D48033}"/>
    <cellStyle name="Normal 4 2 2 5 5 2 2 3" xfId="25010" xr:uid="{269EB51D-3E17-43F9-876F-7707EB94C373}"/>
    <cellStyle name="Normal 4 2 2 5 5 2 3" xfId="12345" xr:uid="{FD763A72-6678-4ECC-8A9F-9BA3F0369309}"/>
    <cellStyle name="Normal 4 2 2 5 5 2 4" xfId="20793" xr:uid="{C7B9FC98-5FBC-48D3-9574-BC2B1A3A8776}"/>
    <cellStyle name="Normal 4 2 2 5 5 3" xfId="5968" xr:uid="{00000000-0005-0000-0000-000002130000}"/>
    <cellStyle name="Normal 4 2 2 5 5 3 2" xfId="14418" xr:uid="{7D7CF0D8-E5C3-44D0-83B7-65BE10570579}"/>
    <cellStyle name="Normal 4 2 2 5 5 3 3" xfId="22865" xr:uid="{A109EAC1-EDEA-4A71-86E6-F5C98FDE6AFE}"/>
    <cellStyle name="Normal 4 2 2 5 5 4" xfId="10200" xr:uid="{31587919-9A8B-4BDA-8E81-A61CFA6BD580}"/>
    <cellStyle name="Normal 4 2 2 5 5 5" xfId="18648" xr:uid="{F82A69E9-6C3A-4160-A2CB-EB437B8CC437}"/>
    <cellStyle name="Normal 4 2 2 5 6" xfId="2075" xr:uid="{00000000-0005-0000-0000-000003130000}"/>
    <cellStyle name="Normal 4 2 2 5 6 2" xfId="4304" xr:uid="{00000000-0005-0000-0000-000004130000}"/>
    <cellStyle name="Normal 4 2 2 5 6 2 2" xfId="8526" xr:uid="{00000000-0005-0000-0000-000005130000}"/>
    <cellStyle name="Normal 4 2 2 5 6 2 2 2" xfId="16976" xr:uid="{E596D771-661F-49EC-ACC5-D857610BC1A4}"/>
    <cellStyle name="Normal 4 2 2 5 6 2 2 3" xfId="25423" xr:uid="{88B7249C-9905-447F-BB01-E271EC4F3825}"/>
    <cellStyle name="Normal 4 2 2 5 6 2 3" xfId="12758" xr:uid="{90CDE008-2190-4B06-90DD-60C91B3374E9}"/>
    <cellStyle name="Normal 4 2 2 5 6 2 4" xfId="21206" xr:uid="{EF9E50B7-7A20-47A6-AC97-EBAF5537D7E1}"/>
    <cellStyle name="Normal 4 2 2 5 6 3" xfId="6381" xr:uid="{00000000-0005-0000-0000-000006130000}"/>
    <cellStyle name="Normal 4 2 2 5 6 3 2" xfId="14831" xr:uid="{FEE47386-55BE-42A8-B7E0-2248855EA4EC}"/>
    <cellStyle name="Normal 4 2 2 5 6 3 3" xfId="23278" xr:uid="{3CE64DD8-4031-436A-ADF1-AE3D9122751C}"/>
    <cellStyle name="Normal 4 2 2 5 6 4" xfId="10613" xr:uid="{5DDF41B9-4BE3-4466-81DB-1A5DA1462644}"/>
    <cellStyle name="Normal 4 2 2 5 6 5" xfId="19061" xr:uid="{C79E6BDD-2F71-4106-B2E9-8BD13483D36C}"/>
    <cellStyle name="Normal 4 2 2 5 7" xfId="2511" xr:uid="{00000000-0005-0000-0000-000007130000}"/>
    <cellStyle name="Normal 4 2 2 5 7 2" xfId="6794" xr:uid="{00000000-0005-0000-0000-000008130000}"/>
    <cellStyle name="Normal 4 2 2 5 7 2 2" xfId="15244" xr:uid="{B08B7F89-7B0D-4FB4-ACC4-64F9089FC1EB}"/>
    <cellStyle name="Normal 4 2 2 5 7 2 3" xfId="23691" xr:uid="{C6BFC757-6803-42BD-9932-9712D4A29FF1}"/>
    <cellStyle name="Normal 4 2 2 5 7 3" xfId="11026" xr:uid="{6F3A6E03-A963-4CFB-8497-F8A9D87F3097}"/>
    <cellStyle name="Normal 4 2 2 5 7 4" xfId="19474" xr:uid="{E60BCCB1-B76F-4EB9-85E7-679DB40C5101}"/>
    <cellStyle name="Normal 4 2 2 5 8" xfId="4729" xr:uid="{00000000-0005-0000-0000-000009130000}"/>
    <cellStyle name="Normal 4 2 2 5 8 2" xfId="13179" xr:uid="{89275E18-BD9B-4233-A895-42379BDC51E5}"/>
    <cellStyle name="Normal 4 2 2 5 8 3" xfId="21626" xr:uid="{82F7BB52-D979-4E93-9418-2B59D5B50138}"/>
    <cellStyle name="Normal 4 2 2 5 9" xfId="8961" xr:uid="{8EA92B9C-4AE9-485D-A3F0-327DA43F15DC}"/>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2 2 2" xfId="15739" xr:uid="{ACD96A33-A93F-4270-845C-92E2340FA0EC}"/>
    <cellStyle name="Normal 4 2 2 6 2 2 2 3" xfId="24186" xr:uid="{C54535CE-3840-44BA-83A3-A3590AF9CFA0}"/>
    <cellStyle name="Normal 4 2 2 6 2 2 3" xfId="11521" xr:uid="{643493CA-11A8-471F-9928-B1F73E99FBFD}"/>
    <cellStyle name="Normal 4 2 2 6 2 2 4" xfId="19969" xr:uid="{F3D28470-6344-4D92-A4F6-88D948A97C49}"/>
    <cellStyle name="Normal 4 2 2 6 2 3" xfId="5144" xr:uid="{00000000-0005-0000-0000-00000E130000}"/>
    <cellStyle name="Normal 4 2 2 6 2 3 2" xfId="13594" xr:uid="{ED109800-91E5-4030-9C11-E6A3EA828855}"/>
    <cellStyle name="Normal 4 2 2 6 2 3 3" xfId="22041" xr:uid="{C1078F09-FBD9-4309-9F9D-F447376D82A1}"/>
    <cellStyle name="Normal 4 2 2 6 2 4" xfId="9376" xr:uid="{C0DB454B-FB8A-4A95-9988-A84D233FF05F}"/>
    <cellStyle name="Normal 4 2 2 6 2 5" xfId="17824" xr:uid="{0ACE4A73-C2C1-497D-94C7-27E39A1B248B}"/>
    <cellStyle name="Normal 4 2 2 6 3" xfId="1250" xr:uid="{00000000-0005-0000-0000-00000F130000}"/>
    <cellStyle name="Normal 4 2 2 6 3 2" xfId="3480" xr:uid="{00000000-0005-0000-0000-000010130000}"/>
    <cellStyle name="Normal 4 2 2 6 3 2 2" xfId="7702" xr:uid="{00000000-0005-0000-0000-000011130000}"/>
    <cellStyle name="Normal 4 2 2 6 3 2 2 2" xfId="16152" xr:uid="{B2EFE7CE-C4FB-4F49-9B0F-0BE54AB592E7}"/>
    <cellStyle name="Normal 4 2 2 6 3 2 2 3" xfId="24599" xr:uid="{CE9BA5D4-FF45-4FD3-9E17-FA1E046A1CFE}"/>
    <cellStyle name="Normal 4 2 2 6 3 2 3" xfId="11934" xr:uid="{DC609485-493E-434C-9D65-126ED55F9DCB}"/>
    <cellStyle name="Normal 4 2 2 6 3 2 4" xfId="20382" xr:uid="{591DC02D-66BA-49EF-ACF0-BCDC18C70808}"/>
    <cellStyle name="Normal 4 2 2 6 3 3" xfId="5557" xr:uid="{00000000-0005-0000-0000-000012130000}"/>
    <cellStyle name="Normal 4 2 2 6 3 3 2" xfId="14007" xr:uid="{0D4AD4AF-DCB8-4603-AEBE-F74B74CCC97F}"/>
    <cellStyle name="Normal 4 2 2 6 3 3 3" xfId="22454" xr:uid="{D10CA50C-14A4-40FE-B5BC-B21E23D289C2}"/>
    <cellStyle name="Normal 4 2 2 6 3 4" xfId="9789" xr:uid="{F8930945-6F56-42EB-A323-51A046B844C6}"/>
    <cellStyle name="Normal 4 2 2 6 3 5" xfId="18237" xr:uid="{D58505A3-B04A-4147-A5F8-41BBA5BCBE89}"/>
    <cellStyle name="Normal 4 2 2 6 4" xfId="1663" xr:uid="{00000000-0005-0000-0000-000013130000}"/>
    <cellStyle name="Normal 4 2 2 6 4 2" xfId="3893" xr:uid="{00000000-0005-0000-0000-000014130000}"/>
    <cellStyle name="Normal 4 2 2 6 4 2 2" xfId="8115" xr:uid="{00000000-0005-0000-0000-000015130000}"/>
    <cellStyle name="Normal 4 2 2 6 4 2 2 2" xfId="16565" xr:uid="{F0EC2621-C33A-42A8-8C45-80578E38B976}"/>
    <cellStyle name="Normal 4 2 2 6 4 2 2 3" xfId="25012" xr:uid="{D829E46E-5FEA-4FEA-A81E-6FAC557DBFDD}"/>
    <cellStyle name="Normal 4 2 2 6 4 2 3" xfId="12347" xr:uid="{465AC9EA-039E-4E68-85F9-F0C8B7BB7240}"/>
    <cellStyle name="Normal 4 2 2 6 4 2 4" xfId="20795" xr:uid="{2B74629F-419D-44AC-B006-874D56AA8654}"/>
    <cellStyle name="Normal 4 2 2 6 4 3" xfId="5970" xr:uid="{00000000-0005-0000-0000-000016130000}"/>
    <cellStyle name="Normal 4 2 2 6 4 3 2" xfId="14420" xr:uid="{911B86A3-5FE0-4E4D-824F-30F3CF839720}"/>
    <cellStyle name="Normal 4 2 2 6 4 3 3" xfId="22867" xr:uid="{92C5DA63-84C0-4FEE-98E5-0284A199EF45}"/>
    <cellStyle name="Normal 4 2 2 6 4 4" xfId="10202" xr:uid="{0FEC70AA-9A76-4B4C-91B2-55988A3E5AE5}"/>
    <cellStyle name="Normal 4 2 2 6 4 5" xfId="18650" xr:uid="{F115A151-EF3B-48B0-8A05-3E721355CBEC}"/>
    <cellStyle name="Normal 4 2 2 6 5" xfId="2077" xr:uid="{00000000-0005-0000-0000-000017130000}"/>
    <cellStyle name="Normal 4 2 2 6 5 2" xfId="4306" xr:uid="{00000000-0005-0000-0000-000018130000}"/>
    <cellStyle name="Normal 4 2 2 6 5 2 2" xfId="8528" xr:uid="{00000000-0005-0000-0000-000019130000}"/>
    <cellStyle name="Normal 4 2 2 6 5 2 2 2" xfId="16978" xr:uid="{91541D91-9FC5-4AE0-94AB-585F2C2F7A18}"/>
    <cellStyle name="Normal 4 2 2 6 5 2 2 3" xfId="25425" xr:uid="{69D3DA32-DD0E-48E6-BCA7-90CF33E8C262}"/>
    <cellStyle name="Normal 4 2 2 6 5 2 3" xfId="12760" xr:uid="{23494BC1-5D90-497C-BB3F-AF90A45ADF0C}"/>
    <cellStyle name="Normal 4 2 2 6 5 2 4" xfId="21208" xr:uid="{1256546F-428D-4E71-9CB8-10611F1D014E}"/>
    <cellStyle name="Normal 4 2 2 6 5 3" xfId="6383" xr:uid="{00000000-0005-0000-0000-00001A130000}"/>
    <cellStyle name="Normal 4 2 2 6 5 3 2" xfId="14833" xr:uid="{8496D191-3C24-42EE-A4C5-DBCAAAA6F18A}"/>
    <cellStyle name="Normal 4 2 2 6 5 3 3" xfId="23280" xr:uid="{5D3074CA-7CBE-4C6B-A652-0A2B57C9F098}"/>
    <cellStyle name="Normal 4 2 2 6 5 4" xfId="10615" xr:uid="{19ECF8BC-3FB3-4F6D-80F9-57AA31FF5D38}"/>
    <cellStyle name="Normal 4 2 2 6 5 5" xfId="19063" xr:uid="{C56EE0C1-4DA1-42A7-A9DD-300AEA1624CA}"/>
    <cellStyle name="Normal 4 2 2 6 6" xfId="2513" xr:uid="{00000000-0005-0000-0000-00001B130000}"/>
    <cellStyle name="Normal 4 2 2 6 6 2" xfId="6796" xr:uid="{00000000-0005-0000-0000-00001C130000}"/>
    <cellStyle name="Normal 4 2 2 6 6 2 2" xfId="15246" xr:uid="{A899BACF-97A9-49E8-8772-3069FFA041AF}"/>
    <cellStyle name="Normal 4 2 2 6 6 2 3" xfId="23693" xr:uid="{420E2296-CD8C-436F-8F53-6A015C167486}"/>
    <cellStyle name="Normal 4 2 2 6 6 3" xfId="11028" xr:uid="{083354B6-4264-4456-90C8-2A2DA1364C20}"/>
    <cellStyle name="Normal 4 2 2 6 6 4" xfId="19476" xr:uid="{86A018AE-D27F-46A7-A07F-430D190C3E2D}"/>
    <cellStyle name="Normal 4 2 2 6 7" xfId="4731" xr:uid="{00000000-0005-0000-0000-00001D130000}"/>
    <cellStyle name="Normal 4 2 2 6 7 2" xfId="13181" xr:uid="{19BA3A05-741A-49FA-B894-B1EA1D458324}"/>
    <cellStyle name="Normal 4 2 2 6 7 3" xfId="21628" xr:uid="{63002C13-5071-405B-8516-68D966F83B33}"/>
    <cellStyle name="Normal 4 2 2 6 8" xfId="8963" xr:uid="{5B02019A-8C63-436E-90AD-C73A7C09199B}"/>
    <cellStyle name="Normal 4 2 2 6 9" xfId="17411" xr:uid="{B1DD7DF5-9BA2-40A0-8118-CAE00A099611}"/>
    <cellStyle name="Normal 4 2 2 7" xfId="815" xr:uid="{00000000-0005-0000-0000-00001E130000}"/>
    <cellStyle name="Normal 4 2 2 7 2" xfId="3052" xr:uid="{00000000-0005-0000-0000-00001F130000}"/>
    <cellStyle name="Normal 4 2 2 7 2 2" xfId="7274" xr:uid="{00000000-0005-0000-0000-000020130000}"/>
    <cellStyle name="Normal 4 2 2 7 2 2 2" xfId="15724" xr:uid="{52294642-5B58-4F1B-948D-6A6FCE4383B1}"/>
    <cellStyle name="Normal 4 2 2 7 2 2 3" xfId="24171" xr:uid="{EB9E3985-EE7F-46C9-948E-D604A57CB15F}"/>
    <cellStyle name="Normal 4 2 2 7 2 3" xfId="11506" xr:uid="{DA814CB9-D46C-4073-A56E-997CFB5ADFE2}"/>
    <cellStyle name="Normal 4 2 2 7 2 4" xfId="19954" xr:uid="{575AB617-D3B9-43E3-9250-B012B6FECFBF}"/>
    <cellStyle name="Normal 4 2 2 7 3" xfId="5129" xr:uid="{00000000-0005-0000-0000-000021130000}"/>
    <cellStyle name="Normal 4 2 2 7 3 2" xfId="13579" xr:uid="{50284D10-909B-4CC5-AFE2-089984474E08}"/>
    <cellStyle name="Normal 4 2 2 7 3 3" xfId="22026" xr:uid="{2445E68E-7E0F-4389-AD65-EF11613E43F3}"/>
    <cellStyle name="Normal 4 2 2 7 4" xfId="9361" xr:uid="{25E1A924-8385-4605-8944-6B6E04EF67C3}"/>
    <cellStyle name="Normal 4 2 2 7 5" xfId="17809" xr:uid="{5D9E0531-6CA9-441D-A474-FDDD2C77A588}"/>
    <cellStyle name="Normal 4 2 2 8" xfId="1235" xr:uid="{00000000-0005-0000-0000-000022130000}"/>
    <cellStyle name="Normal 4 2 2 8 2" xfId="3465" xr:uid="{00000000-0005-0000-0000-000023130000}"/>
    <cellStyle name="Normal 4 2 2 8 2 2" xfId="7687" xr:uid="{00000000-0005-0000-0000-000024130000}"/>
    <cellStyle name="Normal 4 2 2 8 2 2 2" xfId="16137" xr:uid="{DA7E0AED-6528-4818-B028-6FD765D490E6}"/>
    <cellStyle name="Normal 4 2 2 8 2 2 3" xfId="24584" xr:uid="{489572F0-F5CE-41A0-8D5E-398EEB0377DF}"/>
    <cellStyle name="Normal 4 2 2 8 2 3" xfId="11919" xr:uid="{31D3D6D4-69AE-4948-8629-51AB08D38ABE}"/>
    <cellStyle name="Normal 4 2 2 8 2 4" xfId="20367" xr:uid="{B51F078F-D077-49DA-9996-BE071DDF24A7}"/>
    <cellStyle name="Normal 4 2 2 8 3" xfId="5542" xr:uid="{00000000-0005-0000-0000-000025130000}"/>
    <cellStyle name="Normal 4 2 2 8 3 2" xfId="13992" xr:uid="{92A6BC1F-032E-4584-8CD3-34D598DAD654}"/>
    <cellStyle name="Normal 4 2 2 8 3 3" xfId="22439" xr:uid="{8B22056F-8268-4017-BDB8-78D295B3853E}"/>
    <cellStyle name="Normal 4 2 2 8 4" xfId="9774" xr:uid="{73C83304-159B-4483-AF60-2E936F137644}"/>
    <cellStyle name="Normal 4 2 2 8 5" xfId="18222" xr:uid="{F3929284-BF80-4DB5-AAE4-64DA00E6B67A}"/>
    <cellStyle name="Normal 4 2 2 9" xfId="1648" xr:uid="{00000000-0005-0000-0000-000026130000}"/>
    <cellStyle name="Normal 4 2 2 9 2" xfId="3878" xr:uid="{00000000-0005-0000-0000-000027130000}"/>
    <cellStyle name="Normal 4 2 2 9 2 2" xfId="8100" xr:uid="{00000000-0005-0000-0000-000028130000}"/>
    <cellStyle name="Normal 4 2 2 9 2 2 2" xfId="16550" xr:uid="{34EEF8A4-E7F8-45B6-81B6-6C22D827F9BB}"/>
    <cellStyle name="Normal 4 2 2 9 2 2 3" xfId="24997" xr:uid="{AD0A6D06-EDEC-4BDA-8A42-DD08821662C0}"/>
    <cellStyle name="Normal 4 2 2 9 2 3" xfId="12332" xr:uid="{BF37E5CA-2229-4F8A-9CB1-C0091E6CA350}"/>
    <cellStyle name="Normal 4 2 2 9 2 4" xfId="20780" xr:uid="{08678B9E-ADFA-431A-9AC5-6249CFF59870}"/>
    <cellStyle name="Normal 4 2 2 9 3" xfId="5955" xr:uid="{00000000-0005-0000-0000-000029130000}"/>
    <cellStyle name="Normal 4 2 2 9 3 2" xfId="14405" xr:uid="{A4C034F6-C8E0-4B8E-BA4A-FF1959EB554E}"/>
    <cellStyle name="Normal 4 2 2 9 3 3" xfId="22852" xr:uid="{A9EDF75C-F3BF-4777-8A50-08A41ABE3919}"/>
    <cellStyle name="Normal 4 2 2 9 4" xfId="10187" xr:uid="{182CCDF9-54D3-40AC-9117-FEFB7CB46E32}"/>
    <cellStyle name="Normal 4 2 2 9 5" xfId="18635" xr:uid="{3D8D0545-9F06-44F2-ACF8-1B747646B165}"/>
    <cellStyle name="Normal 4 2 3" xfId="354" xr:uid="{00000000-0005-0000-0000-00002A130000}"/>
    <cellStyle name="Normal 4 2 4" xfId="355" xr:uid="{00000000-0005-0000-0000-00002B130000}"/>
    <cellStyle name="Normal 4 2 4 10" xfId="4732" xr:uid="{00000000-0005-0000-0000-00002C130000}"/>
    <cellStyle name="Normal 4 2 4 10 2" xfId="13182" xr:uid="{C033704A-FD80-4EE3-8DBA-DC3C812E668A}"/>
    <cellStyle name="Normal 4 2 4 10 3" xfId="21629" xr:uid="{4276B94B-232F-45BC-8920-EE61278A074C}"/>
    <cellStyle name="Normal 4 2 4 11" xfId="8964" xr:uid="{28BD76D9-4406-4ECA-82EA-4EC08EA09706}"/>
    <cellStyle name="Normal 4 2 4 12" xfId="17412" xr:uid="{68D63F79-A8C6-4511-BA53-7A1A3494246D}"/>
    <cellStyle name="Normal 4 2 4 2" xfId="356" xr:uid="{00000000-0005-0000-0000-00002D130000}"/>
    <cellStyle name="Normal 4 2 4 2 10" xfId="8965" xr:uid="{EC1866BA-433A-4C0C-8058-03FEA86DBD19}"/>
    <cellStyle name="Normal 4 2 4 2 11" xfId="17413" xr:uid="{8FB0AA82-E21C-4F47-9C15-D9FB91D2C463}"/>
    <cellStyle name="Normal 4 2 4 2 2" xfId="357" xr:uid="{00000000-0005-0000-0000-00002E130000}"/>
    <cellStyle name="Normal 4 2 4 2 2 10" xfId="17414" xr:uid="{D063C04E-12BA-4D96-AA80-3A99039A1147}"/>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2 2 2" xfId="15743" xr:uid="{589B43A7-5C5F-4458-B420-F11049D981F0}"/>
    <cellStyle name="Normal 4 2 4 2 2 2 2 2 2 3" xfId="24190" xr:uid="{F40F9931-5676-4911-83A8-40AA61B9C10B}"/>
    <cellStyle name="Normal 4 2 4 2 2 2 2 2 3" xfId="11525" xr:uid="{5129B0B5-FAEA-4567-9250-3633967FE674}"/>
    <cellStyle name="Normal 4 2 4 2 2 2 2 2 4" xfId="19973" xr:uid="{04A06798-4998-4EE5-B9DA-C0B86F22AC0B}"/>
    <cellStyle name="Normal 4 2 4 2 2 2 2 3" xfId="5148" xr:uid="{00000000-0005-0000-0000-000033130000}"/>
    <cellStyle name="Normal 4 2 4 2 2 2 2 3 2" xfId="13598" xr:uid="{718541AE-2020-44F4-A6AB-B9496AD75291}"/>
    <cellStyle name="Normal 4 2 4 2 2 2 2 3 3" xfId="22045" xr:uid="{369D5B5E-136E-4B10-9673-03180A0395D0}"/>
    <cellStyle name="Normal 4 2 4 2 2 2 2 4" xfId="9380" xr:uid="{0BE943CB-0B97-4F5F-A7EE-88D76D87E5C7}"/>
    <cellStyle name="Normal 4 2 4 2 2 2 2 5" xfId="17828" xr:uid="{2E160AB4-E233-40AC-8EFE-ACF1D01A8EDA}"/>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2 2 2" xfId="16156" xr:uid="{E741F6ED-4A28-4A98-BDE4-7674CF33EDAF}"/>
    <cellStyle name="Normal 4 2 4 2 2 2 3 2 2 3" xfId="24603" xr:uid="{7091C182-D385-4861-BEAD-88AF8E279727}"/>
    <cellStyle name="Normal 4 2 4 2 2 2 3 2 3" xfId="11938" xr:uid="{0CAF71D9-BB25-468F-AF57-AA90F85512E2}"/>
    <cellStyle name="Normal 4 2 4 2 2 2 3 2 4" xfId="20386" xr:uid="{746AE6A8-F344-42FF-A18F-415D98B878E5}"/>
    <cellStyle name="Normal 4 2 4 2 2 2 3 3" xfId="5561" xr:uid="{00000000-0005-0000-0000-000037130000}"/>
    <cellStyle name="Normal 4 2 4 2 2 2 3 3 2" xfId="14011" xr:uid="{54A97CAE-7175-45D1-BB44-BB9238DA3524}"/>
    <cellStyle name="Normal 4 2 4 2 2 2 3 3 3" xfId="22458" xr:uid="{6D08F6A0-6DFA-400D-9D70-5762D7F10B8E}"/>
    <cellStyle name="Normal 4 2 4 2 2 2 3 4" xfId="9793" xr:uid="{3DC0BE0B-CB30-408C-B246-5C31BA873447}"/>
    <cellStyle name="Normal 4 2 4 2 2 2 3 5" xfId="18241" xr:uid="{587F4602-DC57-48FF-9C90-FCB4EE0712CF}"/>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2 2 2" xfId="16569" xr:uid="{B8CBC037-5CF4-4AA2-A525-1EC552C64629}"/>
    <cellStyle name="Normal 4 2 4 2 2 2 4 2 2 3" xfId="25016" xr:uid="{CB11431A-C47E-4505-99E5-C6B09C0546C8}"/>
    <cellStyle name="Normal 4 2 4 2 2 2 4 2 3" xfId="12351" xr:uid="{6F4F04D4-975D-43FD-B029-0A7D16A47338}"/>
    <cellStyle name="Normal 4 2 4 2 2 2 4 2 4" xfId="20799" xr:uid="{259F990B-097A-48C7-880E-88C7D53CA96D}"/>
    <cellStyle name="Normal 4 2 4 2 2 2 4 3" xfId="5974" xr:uid="{00000000-0005-0000-0000-00003B130000}"/>
    <cellStyle name="Normal 4 2 4 2 2 2 4 3 2" xfId="14424" xr:uid="{5B1C5D8B-F227-4DA0-AE0B-307E4F769F9C}"/>
    <cellStyle name="Normal 4 2 4 2 2 2 4 3 3" xfId="22871" xr:uid="{BF4BF9FB-94B4-40B8-80C9-CF7D1AFA3D95}"/>
    <cellStyle name="Normal 4 2 4 2 2 2 4 4" xfId="10206" xr:uid="{0B7B3A33-9058-4A50-BFBB-4ED632E7D410}"/>
    <cellStyle name="Normal 4 2 4 2 2 2 4 5" xfId="18654" xr:uid="{D2EC690D-E6DD-4A8A-8E16-77322A11AB21}"/>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2 2 2" xfId="16982" xr:uid="{5CB49559-6248-49C6-8E21-718AE14AEDCB}"/>
    <cellStyle name="Normal 4 2 4 2 2 2 5 2 2 3" xfId="25429" xr:uid="{7E9BD9A5-7B90-4F24-870C-79A4D0F63F79}"/>
    <cellStyle name="Normal 4 2 4 2 2 2 5 2 3" xfId="12764" xr:uid="{CE268D87-85FA-4639-ACEA-F13128F31992}"/>
    <cellStyle name="Normal 4 2 4 2 2 2 5 2 4" xfId="21212" xr:uid="{A06CC07D-BED1-4EEA-BE3B-7A9D4F3D9ADB}"/>
    <cellStyle name="Normal 4 2 4 2 2 2 5 3" xfId="6387" xr:uid="{00000000-0005-0000-0000-00003F130000}"/>
    <cellStyle name="Normal 4 2 4 2 2 2 5 3 2" xfId="14837" xr:uid="{583FAA87-2A1A-45D6-A66C-95B4326C7F49}"/>
    <cellStyle name="Normal 4 2 4 2 2 2 5 3 3" xfId="23284" xr:uid="{6C0C5781-8B5F-4913-978A-2D08AD317999}"/>
    <cellStyle name="Normal 4 2 4 2 2 2 5 4" xfId="10619" xr:uid="{CD1EDF9E-F4A5-4C7D-8997-7CD153B97204}"/>
    <cellStyle name="Normal 4 2 4 2 2 2 5 5" xfId="19067" xr:uid="{038EF7EC-F1B7-4735-B5A6-665F801F7180}"/>
    <cellStyle name="Normal 4 2 4 2 2 2 6" xfId="2517" xr:uid="{00000000-0005-0000-0000-000040130000}"/>
    <cellStyle name="Normal 4 2 4 2 2 2 6 2" xfId="6800" xr:uid="{00000000-0005-0000-0000-000041130000}"/>
    <cellStyle name="Normal 4 2 4 2 2 2 6 2 2" xfId="15250" xr:uid="{42F86895-AA20-49C2-9BF0-0F6F7D43A4AD}"/>
    <cellStyle name="Normal 4 2 4 2 2 2 6 2 3" xfId="23697" xr:uid="{B191D943-43A8-4170-B443-D7147C89D764}"/>
    <cellStyle name="Normal 4 2 4 2 2 2 6 3" xfId="11032" xr:uid="{322BE337-D790-4D6F-AB49-F1B32A9B51A7}"/>
    <cellStyle name="Normal 4 2 4 2 2 2 6 4" xfId="19480" xr:uid="{91D755B5-949B-4B54-81C3-EF0D7E8607C3}"/>
    <cellStyle name="Normal 4 2 4 2 2 2 7" xfId="4735" xr:uid="{00000000-0005-0000-0000-000042130000}"/>
    <cellStyle name="Normal 4 2 4 2 2 2 7 2" xfId="13185" xr:uid="{AF2D0DAA-FD74-4224-A28F-9B1CE9AC6796}"/>
    <cellStyle name="Normal 4 2 4 2 2 2 7 3" xfId="21632" xr:uid="{57B165AF-6C85-4030-AD92-AB0C39FE17E2}"/>
    <cellStyle name="Normal 4 2 4 2 2 2 8" xfId="8967" xr:uid="{5C46B257-7E3F-4151-8EA9-DE5528A7182D}"/>
    <cellStyle name="Normal 4 2 4 2 2 2 9" xfId="17415" xr:uid="{50F6FF2A-52F2-4A06-97F4-D3D306DE569C}"/>
    <cellStyle name="Normal 4 2 4 2 2 3" xfId="833" xr:uid="{00000000-0005-0000-0000-000043130000}"/>
    <cellStyle name="Normal 4 2 4 2 2 3 2" xfId="3070" xr:uid="{00000000-0005-0000-0000-000044130000}"/>
    <cellStyle name="Normal 4 2 4 2 2 3 2 2" xfId="7292" xr:uid="{00000000-0005-0000-0000-000045130000}"/>
    <cellStyle name="Normal 4 2 4 2 2 3 2 2 2" xfId="15742" xr:uid="{B9AB1331-1E9D-4CEE-B9BC-13334A6043DC}"/>
    <cellStyle name="Normal 4 2 4 2 2 3 2 2 3" xfId="24189" xr:uid="{07BA6E45-88D9-4688-A5DE-75C519F2216F}"/>
    <cellStyle name="Normal 4 2 4 2 2 3 2 3" xfId="11524" xr:uid="{F5EB7F29-F213-40F3-A861-C16C425EA808}"/>
    <cellStyle name="Normal 4 2 4 2 2 3 2 4" xfId="19972" xr:uid="{CE1425DE-8661-4B03-8005-DAB694CD66AD}"/>
    <cellStyle name="Normal 4 2 4 2 2 3 3" xfId="5147" xr:uid="{00000000-0005-0000-0000-000046130000}"/>
    <cellStyle name="Normal 4 2 4 2 2 3 3 2" xfId="13597" xr:uid="{852BA385-7CCF-4B40-A69E-36A2D6E4044B}"/>
    <cellStyle name="Normal 4 2 4 2 2 3 3 3" xfId="22044" xr:uid="{4645B84A-3E42-4528-B705-4819146706D5}"/>
    <cellStyle name="Normal 4 2 4 2 2 3 4" xfId="9379" xr:uid="{6E75FBA2-EA4F-4C69-9C46-7FDFF9696C05}"/>
    <cellStyle name="Normal 4 2 4 2 2 3 5" xfId="17827" xr:uid="{5051DBB8-64B0-4BF3-9E37-AC6280E60CDE}"/>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2 2 2" xfId="16155" xr:uid="{D0DD8465-AEE1-4D32-875D-8B973F93A67C}"/>
    <cellStyle name="Normal 4 2 4 2 2 4 2 2 3" xfId="24602" xr:uid="{D0AB28E4-FC1E-455B-ADD5-D3E4FBA7BA9D}"/>
    <cellStyle name="Normal 4 2 4 2 2 4 2 3" xfId="11937" xr:uid="{D8F49F68-05BB-443A-A5B6-7FBA659B1BF5}"/>
    <cellStyle name="Normal 4 2 4 2 2 4 2 4" xfId="20385" xr:uid="{C37E2BA8-49E2-4C52-85F1-992E91862BF0}"/>
    <cellStyle name="Normal 4 2 4 2 2 4 3" xfId="5560" xr:uid="{00000000-0005-0000-0000-00004A130000}"/>
    <cellStyle name="Normal 4 2 4 2 2 4 3 2" xfId="14010" xr:uid="{490DBDF9-79D5-427B-B61D-3B92FA3029FC}"/>
    <cellStyle name="Normal 4 2 4 2 2 4 3 3" xfId="22457" xr:uid="{613B6868-2299-4ADE-9A87-2BEAB68AAB0C}"/>
    <cellStyle name="Normal 4 2 4 2 2 4 4" xfId="9792" xr:uid="{04D8C944-EE39-4048-A196-D5D6F417ACCB}"/>
    <cellStyle name="Normal 4 2 4 2 2 4 5" xfId="18240" xr:uid="{A1E19136-0E1D-432A-9E96-D2D625467D3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2 2 2" xfId="16568" xr:uid="{BB8CE9FC-9136-41ED-89C5-B1A9318AAC29}"/>
    <cellStyle name="Normal 4 2 4 2 2 5 2 2 3" xfId="25015" xr:uid="{BBF7E2E3-CAFE-4B6C-8114-275CFA3A21C0}"/>
    <cellStyle name="Normal 4 2 4 2 2 5 2 3" xfId="12350" xr:uid="{BA9D590C-DF45-4E5E-904C-646295771AAC}"/>
    <cellStyle name="Normal 4 2 4 2 2 5 2 4" xfId="20798" xr:uid="{96B8CBB0-7D8C-49F4-A836-CDBD469F5985}"/>
    <cellStyle name="Normal 4 2 4 2 2 5 3" xfId="5973" xr:uid="{00000000-0005-0000-0000-00004E130000}"/>
    <cellStyle name="Normal 4 2 4 2 2 5 3 2" xfId="14423" xr:uid="{EEB37486-FE28-4593-A09D-727D98F6F455}"/>
    <cellStyle name="Normal 4 2 4 2 2 5 3 3" xfId="22870" xr:uid="{986F1F3F-6351-4E60-9D33-79F648A6A2B7}"/>
    <cellStyle name="Normal 4 2 4 2 2 5 4" xfId="10205" xr:uid="{DAD93FD1-1DBF-4A83-8CB7-9B4C2B80E07D}"/>
    <cellStyle name="Normal 4 2 4 2 2 5 5" xfId="18653" xr:uid="{0561B9DF-02E3-4058-8AED-1988AC4CBCA2}"/>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2 2 2" xfId="16981" xr:uid="{39C695DC-1D70-4C9C-8DE5-D29F76C189AE}"/>
    <cellStyle name="Normal 4 2 4 2 2 6 2 2 3" xfId="25428" xr:uid="{CECFA989-BAFF-4EAF-8A30-9730BD98B7C2}"/>
    <cellStyle name="Normal 4 2 4 2 2 6 2 3" xfId="12763" xr:uid="{3E68364B-5796-4B38-A7CB-38B5622DAD61}"/>
    <cellStyle name="Normal 4 2 4 2 2 6 2 4" xfId="21211" xr:uid="{261BB985-F95A-4B67-B4E6-31E04B408843}"/>
    <cellStyle name="Normal 4 2 4 2 2 6 3" xfId="6386" xr:uid="{00000000-0005-0000-0000-000052130000}"/>
    <cellStyle name="Normal 4 2 4 2 2 6 3 2" xfId="14836" xr:uid="{BA998690-FE60-4A30-94B3-740BB843001E}"/>
    <cellStyle name="Normal 4 2 4 2 2 6 3 3" xfId="23283" xr:uid="{1DD65ED2-53C2-48AC-96A0-5CAE0818D07F}"/>
    <cellStyle name="Normal 4 2 4 2 2 6 4" xfId="10618" xr:uid="{1690BF3C-4475-42AF-B071-21B59AD881F0}"/>
    <cellStyle name="Normal 4 2 4 2 2 6 5" xfId="19066" xr:uid="{2072D7B7-5D13-4AA7-AA9D-E0E09D562F8A}"/>
    <cellStyle name="Normal 4 2 4 2 2 7" xfId="2516" xr:uid="{00000000-0005-0000-0000-000053130000}"/>
    <cellStyle name="Normal 4 2 4 2 2 7 2" xfId="6799" xr:uid="{00000000-0005-0000-0000-000054130000}"/>
    <cellStyle name="Normal 4 2 4 2 2 7 2 2" xfId="15249" xr:uid="{C08EC91E-6E62-4C2B-ACA5-47A400C5DE08}"/>
    <cellStyle name="Normal 4 2 4 2 2 7 2 3" xfId="23696" xr:uid="{C0DD9101-3A15-46E3-A8D0-383677E36AC3}"/>
    <cellStyle name="Normal 4 2 4 2 2 7 3" xfId="11031" xr:uid="{601D30D1-7DFA-46E7-A5BA-8031276F3383}"/>
    <cellStyle name="Normal 4 2 4 2 2 7 4" xfId="19479" xr:uid="{8EEF7E30-FFCA-45EC-ADAD-2E8129969B12}"/>
    <cellStyle name="Normal 4 2 4 2 2 8" xfId="4734" xr:uid="{00000000-0005-0000-0000-000055130000}"/>
    <cellStyle name="Normal 4 2 4 2 2 8 2" xfId="13184" xr:uid="{0D558D0B-23D7-4B4E-98FB-77B9E7C256CB}"/>
    <cellStyle name="Normal 4 2 4 2 2 8 3" xfId="21631" xr:uid="{37FBA78D-9FB7-49D6-AB39-34E0A7BF3E29}"/>
    <cellStyle name="Normal 4 2 4 2 2 9" xfId="8966" xr:uid="{5C93BE21-7D8F-4A22-AA4B-869BC9BDAB9E}"/>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2 2 2" xfId="15744" xr:uid="{EB4264DF-F8CE-4494-A3FD-22CAF6A5EE70}"/>
    <cellStyle name="Normal 4 2 4 2 3 2 2 2 3" xfId="24191" xr:uid="{D73AD603-7F80-483C-B33E-044FC463930A}"/>
    <cellStyle name="Normal 4 2 4 2 3 2 2 3" xfId="11526" xr:uid="{53238334-71CA-46CB-A873-671E3A1E82FB}"/>
    <cellStyle name="Normal 4 2 4 2 3 2 2 4" xfId="19974" xr:uid="{374FA62F-E983-4597-A6A2-54503F534D0E}"/>
    <cellStyle name="Normal 4 2 4 2 3 2 3" xfId="5149" xr:uid="{00000000-0005-0000-0000-00005A130000}"/>
    <cellStyle name="Normal 4 2 4 2 3 2 3 2" xfId="13599" xr:uid="{62D827FD-060B-4A27-8EA3-F43DA9637433}"/>
    <cellStyle name="Normal 4 2 4 2 3 2 3 3" xfId="22046" xr:uid="{63CB9625-6935-4094-A990-27503DA314E7}"/>
    <cellStyle name="Normal 4 2 4 2 3 2 4" xfId="9381" xr:uid="{0B9AB253-9869-4652-9EC1-313673519DAF}"/>
    <cellStyle name="Normal 4 2 4 2 3 2 5" xfId="17829" xr:uid="{5A0E2916-29E7-430D-AE94-16067A2FEC12}"/>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2 2 2" xfId="16157" xr:uid="{D7C45611-E047-4240-ABA7-56962C774B8C}"/>
    <cellStyle name="Normal 4 2 4 2 3 3 2 2 3" xfId="24604" xr:uid="{CDC106C7-2310-4430-A111-2E4566459D00}"/>
    <cellStyle name="Normal 4 2 4 2 3 3 2 3" xfId="11939" xr:uid="{86C1139A-D621-4470-9349-948FB4355685}"/>
    <cellStyle name="Normal 4 2 4 2 3 3 2 4" xfId="20387" xr:uid="{AABB9FEE-B2D6-459D-9B57-510BA1628F90}"/>
    <cellStyle name="Normal 4 2 4 2 3 3 3" xfId="5562" xr:uid="{00000000-0005-0000-0000-00005E130000}"/>
    <cellStyle name="Normal 4 2 4 2 3 3 3 2" xfId="14012" xr:uid="{EA6E1915-C743-459F-AE80-66C5B5D0105C}"/>
    <cellStyle name="Normal 4 2 4 2 3 3 3 3" xfId="22459" xr:uid="{2C3F654A-C84E-49C6-9547-285097CAFF0B}"/>
    <cellStyle name="Normal 4 2 4 2 3 3 4" xfId="9794" xr:uid="{9B7DA02F-7D10-4737-882C-5D689D92AF54}"/>
    <cellStyle name="Normal 4 2 4 2 3 3 5" xfId="18242" xr:uid="{DE40328D-6A7B-4B6F-A3D7-D2529A9F1615}"/>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2 2 2" xfId="16570" xr:uid="{C061D38C-01F6-4D68-B28D-0F71A25A1EDD}"/>
    <cellStyle name="Normal 4 2 4 2 3 4 2 2 3" xfId="25017" xr:uid="{12E49C12-BE37-40E0-9F7C-0D5BA3A25E79}"/>
    <cellStyle name="Normal 4 2 4 2 3 4 2 3" xfId="12352" xr:uid="{2E1106AE-05B0-45EE-816E-9063AB45FEBB}"/>
    <cellStyle name="Normal 4 2 4 2 3 4 2 4" xfId="20800" xr:uid="{2346CAEE-B789-4BFE-9338-E6712F264BA4}"/>
    <cellStyle name="Normal 4 2 4 2 3 4 3" xfId="5975" xr:uid="{00000000-0005-0000-0000-000062130000}"/>
    <cellStyle name="Normal 4 2 4 2 3 4 3 2" xfId="14425" xr:uid="{9E6AE6E5-1B86-4AAF-BCA0-98FE10FAAB7E}"/>
    <cellStyle name="Normal 4 2 4 2 3 4 3 3" xfId="22872" xr:uid="{83644C0F-AD8B-49E4-B4A0-CC00DEBCC920}"/>
    <cellStyle name="Normal 4 2 4 2 3 4 4" xfId="10207" xr:uid="{E37F1D6E-C1FD-465A-93B3-7394440E96B4}"/>
    <cellStyle name="Normal 4 2 4 2 3 4 5" xfId="18655" xr:uid="{E5383891-559B-4EAB-B843-9BC25822FFA1}"/>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2 2 2" xfId="16983" xr:uid="{DF2981B0-02EB-49F9-90BB-DF78A87E5ABD}"/>
    <cellStyle name="Normal 4 2 4 2 3 5 2 2 3" xfId="25430" xr:uid="{7BAD74A6-CC03-4B99-8648-F5E58F2A6FC0}"/>
    <cellStyle name="Normal 4 2 4 2 3 5 2 3" xfId="12765" xr:uid="{E47E10DB-6635-429D-97A4-44E14CC008C0}"/>
    <cellStyle name="Normal 4 2 4 2 3 5 2 4" xfId="21213" xr:uid="{F7978F38-661D-4EA5-A324-9C21E14A9167}"/>
    <cellStyle name="Normal 4 2 4 2 3 5 3" xfId="6388" xr:uid="{00000000-0005-0000-0000-000066130000}"/>
    <cellStyle name="Normal 4 2 4 2 3 5 3 2" xfId="14838" xr:uid="{3E777EB2-2A83-42BE-8B4D-0561F1E40F58}"/>
    <cellStyle name="Normal 4 2 4 2 3 5 3 3" xfId="23285" xr:uid="{3E0F58A9-5027-44C5-B8CA-306137EAEEBF}"/>
    <cellStyle name="Normal 4 2 4 2 3 5 4" xfId="10620" xr:uid="{6B78B929-4332-4A9E-A617-17B5292B544D}"/>
    <cellStyle name="Normal 4 2 4 2 3 5 5" xfId="19068" xr:uid="{31B8558E-940A-4F7F-9629-FF61CA2D0740}"/>
    <cellStyle name="Normal 4 2 4 2 3 6" xfId="2518" xr:uid="{00000000-0005-0000-0000-000067130000}"/>
    <cellStyle name="Normal 4 2 4 2 3 6 2" xfId="6801" xr:uid="{00000000-0005-0000-0000-000068130000}"/>
    <cellStyle name="Normal 4 2 4 2 3 6 2 2" xfId="15251" xr:uid="{B5DE2FC8-947D-42DE-A804-EA98094F6C60}"/>
    <cellStyle name="Normal 4 2 4 2 3 6 2 3" xfId="23698" xr:uid="{2C80B058-B1A9-48B7-B9C4-2658C80DA945}"/>
    <cellStyle name="Normal 4 2 4 2 3 6 3" xfId="11033" xr:uid="{712A9AA6-6890-470F-B84E-31F5C5362EEB}"/>
    <cellStyle name="Normal 4 2 4 2 3 6 4" xfId="19481" xr:uid="{22701AFA-2CC9-4100-9A53-2C11762B7DE4}"/>
    <cellStyle name="Normal 4 2 4 2 3 7" xfId="4736" xr:uid="{00000000-0005-0000-0000-000069130000}"/>
    <cellStyle name="Normal 4 2 4 2 3 7 2" xfId="13186" xr:uid="{719DB0AB-9DFA-4460-8E81-9109AB7FAEBF}"/>
    <cellStyle name="Normal 4 2 4 2 3 7 3" xfId="21633" xr:uid="{130B3D94-35BD-4F21-8BEC-D87A375B53AD}"/>
    <cellStyle name="Normal 4 2 4 2 3 8" xfId="8968" xr:uid="{C19E0095-F4C4-4D94-A7E5-325398996029}"/>
    <cellStyle name="Normal 4 2 4 2 3 9" xfId="17416" xr:uid="{207DC7A2-1993-4944-BB00-CAD51B10A887}"/>
    <cellStyle name="Normal 4 2 4 2 4" xfId="832" xr:uid="{00000000-0005-0000-0000-00006A130000}"/>
    <cellStyle name="Normal 4 2 4 2 4 2" xfId="3069" xr:uid="{00000000-0005-0000-0000-00006B130000}"/>
    <cellStyle name="Normal 4 2 4 2 4 2 2" xfId="7291" xr:uid="{00000000-0005-0000-0000-00006C130000}"/>
    <cellStyle name="Normal 4 2 4 2 4 2 2 2" xfId="15741" xr:uid="{D43DD657-F9F1-44A1-A356-0EA53DB6CA17}"/>
    <cellStyle name="Normal 4 2 4 2 4 2 2 3" xfId="24188" xr:uid="{6B456BEC-9766-4DD4-B25D-A05DC2F3EDA2}"/>
    <cellStyle name="Normal 4 2 4 2 4 2 3" xfId="11523" xr:uid="{32960DED-D89E-45CE-8F24-8F3664E9E006}"/>
    <cellStyle name="Normal 4 2 4 2 4 2 4" xfId="19971" xr:uid="{88B46AD2-DB46-45F2-BF8C-5AC8CDAB0CF6}"/>
    <cellStyle name="Normal 4 2 4 2 4 3" xfId="5146" xr:uid="{00000000-0005-0000-0000-00006D130000}"/>
    <cellStyle name="Normal 4 2 4 2 4 3 2" xfId="13596" xr:uid="{84A66FFC-E44A-47BD-97DE-C035C4EBD2E0}"/>
    <cellStyle name="Normal 4 2 4 2 4 3 3" xfId="22043" xr:uid="{5C60B0A9-E6F3-40A4-B5D9-84ED2DEA5C34}"/>
    <cellStyle name="Normal 4 2 4 2 4 4" xfId="9378" xr:uid="{7917EA0C-CCD7-4808-A875-E3F812386923}"/>
    <cellStyle name="Normal 4 2 4 2 4 5" xfId="17826" xr:uid="{F69FD010-0ACB-41C7-8477-EFBCC51D21E6}"/>
    <cellStyle name="Normal 4 2 4 2 5" xfId="1252" xr:uid="{00000000-0005-0000-0000-00006E130000}"/>
    <cellStyle name="Normal 4 2 4 2 5 2" xfId="3482" xr:uid="{00000000-0005-0000-0000-00006F130000}"/>
    <cellStyle name="Normal 4 2 4 2 5 2 2" xfId="7704" xr:uid="{00000000-0005-0000-0000-000070130000}"/>
    <cellStyle name="Normal 4 2 4 2 5 2 2 2" xfId="16154" xr:uid="{A0BCDF8E-4FA7-488C-800A-E8325FA5190E}"/>
    <cellStyle name="Normal 4 2 4 2 5 2 2 3" xfId="24601" xr:uid="{19A56189-545E-476C-9353-B758359884A0}"/>
    <cellStyle name="Normal 4 2 4 2 5 2 3" xfId="11936" xr:uid="{C5E151A6-0D28-4364-9735-A4FB008B803F}"/>
    <cellStyle name="Normal 4 2 4 2 5 2 4" xfId="20384" xr:uid="{F6A688D6-AA1B-4F13-AE1D-CE92257BA9CF}"/>
    <cellStyle name="Normal 4 2 4 2 5 3" xfId="5559" xr:uid="{00000000-0005-0000-0000-000071130000}"/>
    <cellStyle name="Normal 4 2 4 2 5 3 2" xfId="14009" xr:uid="{CB0DDBE2-410A-41E8-9EF9-E61730CA6C59}"/>
    <cellStyle name="Normal 4 2 4 2 5 3 3" xfId="22456" xr:uid="{A4C20FD4-1FB6-4799-B24A-4FAD63F79B2A}"/>
    <cellStyle name="Normal 4 2 4 2 5 4" xfId="9791" xr:uid="{F946EF3C-14BB-4A01-AB7F-252E311B8806}"/>
    <cellStyle name="Normal 4 2 4 2 5 5" xfId="18239" xr:uid="{B7A4CB48-4191-4DCA-8E26-EFB2B452707B}"/>
    <cellStyle name="Normal 4 2 4 2 6" xfId="1665" xr:uid="{00000000-0005-0000-0000-000072130000}"/>
    <cellStyle name="Normal 4 2 4 2 6 2" xfId="3895" xr:uid="{00000000-0005-0000-0000-000073130000}"/>
    <cellStyle name="Normal 4 2 4 2 6 2 2" xfId="8117" xr:uid="{00000000-0005-0000-0000-000074130000}"/>
    <cellStyle name="Normal 4 2 4 2 6 2 2 2" xfId="16567" xr:uid="{0E983B02-D6F0-4A89-9725-13159DA09C63}"/>
    <cellStyle name="Normal 4 2 4 2 6 2 2 3" xfId="25014" xr:uid="{BD01A33D-BB98-4473-98E1-DE97F0879CBC}"/>
    <cellStyle name="Normal 4 2 4 2 6 2 3" xfId="12349" xr:uid="{01BA49F3-3652-4856-93AE-C7BC7C85C5EA}"/>
    <cellStyle name="Normal 4 2 4 2 6 2 4" xfId="20797" xr:uid="{A41B578E-F79F-475C-8CBE-899B1482AFCA}"/>
    <cellStyle name="Normal 4 2 4 2 6 3" xfId="5972" xr:uid="{00000000-0005-0000-0000-000075130000}"/>
    <cellStyle name="Normal 4 2 4 2 6 3 2" xfId="14422" xr:uid="{2C4C9571-7BF6-44C8-A81F-1BED91499353}"/>
    <cellStyle name="Normal 4 2 4 2 6 3 3" xfId="22869" xr:uid="{194FE16C-FA82-4A4C-92BB-22FD14C322C2}"/>
    <cellStyle name="Normal 4 2 4 2 6 4" xfId="10204" xr:uid="{76EE8C59-E396-48DF-A137-19D77AC518BF}"/>
    <cellStyle name="Normal 4 2 4 2 6 5" xfId="18652" xr:uid="{0F7E850F-711E-40FF-9ECA-D7C9F52A5F22}"/>
    <cellStyle name="Normal 4 2 4 2 7" xfId="2079" xr:uid="{00000000-0005-0000-0000-000076130000}"/>
    <cellStyle name="Normal 4 2 4 2 7 2" xfId="4308" xr:uid="{00000000-0005-0000-0000-000077130000}"/>
    <cellStyle name="Normal 4 2 4 2 7 2 2" xfId="8530" xr:uid="{00000000-0005-0000-0000-000078130000}"/>
    <cellStyle name="Normal 4 2 4 2 7 2 2 2" xfId="16980" xr:uid="{D6749AB4-5156-43F5-BAC0-230BC65AFD00}"/>
    <cellStyle name="Normal 4 2 4 2 7 2 2 3" xfId="25427" xr:uid="{221EF658-6B36-42AF-A684-494013A3B2B0}"/>
    <cellStyle name="Normal 4 2 4 2 7 2 3" xfId="12762" xr:uid="{E794F9FF-9D35-4050-AFAA-C88836E4027E}"/>
    <cellStyle name="Normal 4 2 4 2 7 2 4" xfId="21210" xr:uid="{FC676AA3-129B-4100-9C8D-9B4AB76AF590}"/>
    <cellStyle name="Normal 4 2 4 2 7 3" xfId="6385" xr:uid="{00000000-0005-0000-0000-000079130000}"/>
    <cellStyle name="Normal 4 2 4 2 7 3 2" xfId="14835" xr:uid="{A68620C5-B72D-4375-8667-3BCB3A79D51F}"/>
    <cellStyle name="Normal 4 2 4 2 7 3 3" xfId="23282" xr:uid="{49054B3A-B5DD-4A24-9ABB-3A9DCD99DAAE}"/>
    <cellStyle name="Normal 4 2 4 2 7 4" xfId="10617" xr:uid="{901B5C80-C251-4D60-AAC6-2134782FA6BF}"/>
    <cellStyle name="Normal 4 2 4 2 7 5" xfId="19065" xr:uid="{E90F0B20-0CA4-42F8-8ADE-A3AECB1847F9}"/>
    <cellStyle name="Normal 4 2 4 2 8" xfId="2515" xr:uid="{00000000-0005-0000-0000-00007A130000}"/>
    <cellStyle name="Normal 4 2 4 2 8 2" xfId="6798" xr:uid="{00000000-0005-0000-0000-00007B130000}"/>
    <cellStyle name="Normal 4 2 4 2 8 2 2" xfId="15248" xr:uid="{B9D6341A-5D17-4488-8762-44BDAE6D3496}"/>
    <cellStyle name="Normal 4 2 4 2 8 2 3" xfId="23695" xr:uid="{1B9D928F-A0C0-4C2F-9E5B-BF575A45ACD8}"/>
    <cellStyle name="Normal 4 2 4 2 8 3" xfId="11030" xr:uid="{7179EECD-96D6-4FFB-B700-B2465317086F}"/>
    <cellStyle name="Normal 4 2 4 2 8 4" xfId="19478" xr:uid="{DB0A49A3-EA29-49C0-9373-A6815103F618}"/>
    <cellStyle name="Normal 4 2 4 2 9" xfId="4733" xr:uid="{00000000-0005-0000-0000-00007C130000}"/>
    <cellStyle name="Normal 4 2 4 2 9 2" xfId="13183" xr:uid="{68316CA6-0463-4B0A-9089-B90FED3F0F79}"/>
    <cellStyle name="Normal 4 2 4 2 9 3" xfId="21630" xr:uid="{A2F0EFBB-EC52-4319-9155-6A1A51EB3C4C}"/>
    <cellStyle name="Normal 4 2 4 3" xfId="360" xr:uid="{00000000-0005-0000-0000-00007D130000}"/>
    <cellStyle name="Normal 4 2 4 3 10" xfId="17417" xr:uid="{FFB7841E-D5D2-42A1-B8C0-B122FA09A987}"/>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2 2 2" xfId="15746" xr:uid="{C1F059C0-9DA5-4B7F-998B-AD0EA6227E4D}"/>
    <cellStyle name="Normal 4 2 4 3 2 2 2 2 3" xfId="24193" xr:uid="{1B978744-007A-46BF-8F2D-F684E2A9F4A4}"/>
    <cellStyle name="Normal 4 2 4 3 2 2 2 3" xfId="11528" xr:uid="{2CE1E62A-9473-469C-9FB0-DABE7E83C96D}"/>
    <cellStyle name="Normal 4 2 4 3 2 2 2 4" xfId="19976" xr:uid="{A3F8F03C-4372-4296-9691-8086FEB8C21F}"/>
    <cellStyle name="Normal 4 2 4 3 2 2 3" xfId="5151" xr:uid="{00000000-0005-0000-0000-000082130000}"/>
    <cellStyle name="Normal 4 2 4 3 2 2 3 2" xfId="13601" xr:uid="{701AB2E9-1BD5-4FEA-AEDA-498D53484A90}"/>
    <cellStyle name="Normal 4 2 4 3 2 2 3 3" xfId="22048" xr:uid="{402219B4-A31C-4A97-BB72-EC8717538823}"/>
    <cellStyle name="Normal 4 2 4 3 2 2 4" xfId="9383" xr:uid="{E59055B8-90AA-4B74-9BD1-CA2FF8AD4F11}"/>
    <cellStyle name="Normal 4 2 4 3 2 2 5" xfId="17831" xr:uid="{3D3F98AC-97F6-4954-9EFB-864B4B002AC3}"/>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2 2 2" xfId="16159" xr:uid="{5E72DCF2-ED80-44AB-8C3D-EA4266ED8FA2}"/>
    <cellStyle name="Normal 4 2 4 3 2 3 2 2 3" xfId="24606" xr:uid="{ED2E2485-9B70-49F1-9215-F328863A7E76}"/>
    <cellStyle name="Normal 4 2 4 3 2 3 2 3" xfId="11941" xr:uid="{D5628FBF-EB45-4C34-8EA6-545C589D228B}"/>
    <cellStyle name="Normal 4 2 4 3 2 3 2 4" xfId="20389" xr:uid="{D9C9D2D0-B1F5-4E57-95B3-841A99FEED41}"/>
    <cellStyle name="Normal 4 2 4 3 2 3 3" xfId="5564" xr:uid="{00000000-0005-0000-0000-000086130000}"/>
    <cellStyle name="Normal 4 2 4 3 2 3 3 2" xfId="14014" xr:uid="{868CDA33-989E-4471-82A1-94997391E4A8}"/>
    <cellStyle name="Normal 4 2 4 3 2 3 3 3" xfId="22461" xr:uid="{29A5D9CA-367A-4560-B275-117BAB0AB43C}"/>
    <cellStyle name="Normal 4 2 4 3 2 3 4" xfId="9796" xr:uid="{1295317D-FFF0-408C-87EE-379662F9E67E}"/>
    <cellStyle name="Normal 4 2 4 3 2 3 5" xfId="18244" xr:uid="{8E3A1ED6-8736-4E32-926F-E0477D73BB7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2 2 2" xfId="16572" xr:uid="{38EF3AB9-557F-46B0-B894-6D154A062F5E}"/>
    <cellStyle name="Normal 4 2 4 3 2 4 2 2 3" xfId="25019" xr:uid="{EF4402D6-3F45-464B-94ED-EDD0B567C38D}"/>
    <cellStyle name="Normal 4 2 4 3 2 4 2 3" xfId="12354" xr:uid="{B6BA5714-8FE1-4C30-9F6F-7F0B7243AC5E}"/>
    <cellStyle name="Normal 4 2 4 3 2 4 2 4" xfId="20802" xr:uid="{5A3D9155-EA13-4444-8E35-D2B61D5C4BC4}"/>
    <cellStyle name="Normal 4 2 4 3 2 4 3" xfId="5977" xr:uid="{00000000-0005-0000-0000-00008A130000}"/>
    <cellStyle name="Normal 4 2 4 3 2 4 3 2" xfId="14427" xr:uid="{E497165C-D83E-40A3-8EC1-A53ED2900D9F}"/>
    <cellStyle name="Normal 4 2 4 3 2 4 3 3" xfId="22874" xr:uid="{A6ED0EF9-DE9E-45A5-8C20-3787C6209F44}"/>
    <cellStyle name="Normal 4 2 4 3 2 4 4" xfId="10209" xr:uid="{B683A510-FE2B-44E3-9AED-8373C184D18D}"/>
    <cellStyle name="Normal 4 2 4 3 2 4 5" xfId="18657" xr:uid="{C89356D8-BA77-4B94-8B49-EFEA081D89B9}"/>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2 2 2" xfId="16985" xr:uid="{E1C0B7A8-0C5D-4940-8FED-E5B4B7076763}"/>
    <cellStyle name="Normal 4 2 4 3 2 5 2 2 3" xfId="25432" xr:uid="{9D30BD0E-FBD0-4C07-BE8E-AB9B8191F33D}"/>
    <cellStyle name="Normal 4 2 4 3 2 5 2 3" xfId="12767" xr:uid="{BD6F509A-1667-406F-8858-CFC19CB4FEB2}"/>
    <cellStyle name="Normal 4 2 4 3 2 5 2 4" xfId="21215" xr:uid="{37F7A58C-45C8-48AA-9255-CF1A10240758}"/>
    <cellStyle name="Normal 4 2 4 3 2 5 3" xfId="6390" xr:uid="{00000000-0005-0000-0000-00008E130000}"/>
    <cellStyle name="Normal 4 2 4 3 2 5 3 2" xfId="14840" xr:uid="{EE342343-D127-4FC6-900B-4DDBDCA0B5B6}"/>
    <cellStyle name="Normal 4 2 4 3 2 5 3 3" xfId="23287" xr:uid="{9791BBDB-0982-4F4A-9239-0681F48BA21A}"/>
    <cellStyle name="Normal 4 2 4 3 2 5 4" xfId="10622" xr:uid="{E8AB723E-9A84-468E-B10E-7118D58CE12E}"/>
    <cellStyle name="Normal 4 2 4 3 2 5 5" xfId="19070" xr:uid="{917B0A28-54ED-441B-9160-1980F3513FFE}"/>
    <cellStyle name="Normal 4 2 4 3 2 6" xfId="2520" xr:uid="{00000000-0005-0000-0000-00008F130000}"/>
    <cellStyle name="Normal 4 2 4 3 2 6 2" xfId="6803" xr:uid="{00000000-0005-0000-0000-000090130000}"/>
    <cellStyle name="Normal 4 2 4 3 2 6 2 2" xfId="15253" xr:uid="{D629BA5C-2EBA-4442-BC2B-3FCECD5021A0}"/>
    <cellStyle name="Normal 4 2 4 3 2 6 2 3" xfId="23700" xr:uid="{12C86AB2-5492-46DB-9176-9F2DB1C6EB58}"/>
    <cellStyle name="Normal 4 2 4 3 2 6 3" xfId="11035" xr:uid="{87925156-1716-4EB5-99A9-D5F4B07301F9}"/>
    <cellStyle name="Normal 4 2 4 3 2 6 4" xfId="19483" xr:uid="{8DE51FC1-C452-4A8E-9E53-0110681196AD}"/>
    <cellStyle name="Normal 4 2 4 3 2 7" xfId="4738" xr:uid="{00000000-0005-0000-0000-000091130000}"/>
    <cellStyle name="Normal 4 2 4 3 2 7 2" xfId="13188" xr:uid="{6E66E76B-AD39-4B28-9369-D15D3C194CED}"/>
    <cellStyle name="Normal 4 2 4 3 2 7 3" xfId="21635" xr:uid="{F1780A7E-3987-4100-ADCE-39298C579F0A}"/>
    <cellStyle name="Normal 4 2 4 3 2 8" xfId="8970" xr:uid="{891CB408-7209-4B3D-9AAB-5A1DC32AED03}"/>
    <cellStyle name="Normal 4 2 4 3 2 9" xfId="17418" xr:uid="{12567D57-B7B5-45D7-BB23-682171623DCF}"/>
    <cellStyle name="Normal 4 2 4 3 3" xfId="836" xr:uid="{00000000-0005-0000-0000-000092130000}"/>
    <cellStyle name="Normal 4 2 4 3 3 2" xfId="3073" xr:uid="{00000000-0005-0000-0000-000093130000}"/>
    <cellStyle name="Normal 4 2 4 3 3 2 2" xfId="7295" xr:uid="{00000000-0005-0000-0000-000094130000}"/>
    <cellStyle name="Normal 4 2 4 3 3 2 2 2" xfId="15745" xr:uid="{DC1528F8-1DE2-4709-A66C-34A3C25D13E1}"/>
    <cellStyle name="Normal 4 2 4 3 3 2 2 3" xfId="24192" xr:uid="{864CC43F-4421-43E7-8DA8-953708A9D48E}"/>
    <cellStyle name="Normal 4 2 4 3 3 2 3" xfId="11527" xr:uid="{D6D25958-E14A-4F56-A3FD-DE7E89DD2710}"/>
    <cellStyle name="Normal 4 2 4 3 3 2 4" xfId="19975" xr:uid="{FBBE3BE2-EFF9-49F5-8B83-62BEA2819111}"/>
    <cellStyle name="Normal 4 2 4 3 3 3" xfId="5150" xr:uid="{00000000-0005-0000-0000-000095130000}"/>
    <cellStyle name="Normal 4 2 4 3 3 3 2" xfId="13600" xr:uid="{989DA145-3D21-40C5-AD45-764387285BA1}"/>
    <cellStyle name="Normal 4 2 4 3 3 3 3" xfId="22047" xr:uid="{35A1903C-C94A-4A39-8FD1-A077E5A6208D}"/>
    <cellStyle name="Normal 4 2 4 3 3 4" xfId="9382" xr:uid="{8B94DBCC-CD80-4F31-9C97-490EB6CF0376}"/>
    <cellStyle name="Normal 4 2 4 3 3 5" xfId="17830" xr:uid="{94AA4150-E334-471A-901C-65D9C3D7FE5B}"/>
    <cellStyle name="Normal 4 2 4 3 4" xfId="1256" xr:uid="{00000000-0005-0000-0000-000096130000}"/>
    <cellStyle name="Normal 4 2 4 3 4 2" xfId="3486" xr:uid="{00000000-0005-0000-0000-000097130000}"/>
    <cellStyle name="Normal 4 2 4 3 4 2 2" xfId="7708" xr:uid="{00000000-0005-0000-0000-000098130000}"/>
    <cellStyle name="Normal 4 2 4 3 4 2 2 2" xfId="16158" xr:uid="{B165B5ED-362D-4E98-8B2B-FA60A6EE6363}"/>
    <cellStyle name="Normal 4 2 4 3 4 2 2 3" xfId="24605" xr:uid="{94A8DC6B-8B17-4679-8198-B1B2CF42E770}"/>
    <cellStyle name="Normal 4 2 4 3 4 2 3" xfId="11940" xr:uid="{D356FDCE-6914-4C8D-8EE1-AD9583207E00}"/>
    <cellStyle name="Normal 4 2 4 3 4 2 4" xfId="20388" xr:uid="{A28E1BC6-EE94-4139-AA8A-2DACE38DAF45}"/>
    <cellStyle name="Normal 4 2 4 3 4 3" xfId="5563" xr:uid="{00000000-0005-0000-0000-000099130000}"/>
    <cellStyle name="Normal 4 2 4 3 4 3 2" xfId="14013" xr:uid="{4360A6BF-7D2C-4F8B-80B3-1C913FEAF120}"/>
    <cellStyle name="Normal 4 2 4 3 4 3 3" xfId="22460" xr:uid="{B2C6181E-DF47-49DE-8420-567FED2ABA53}"/>
    <cellStyle name="Normal 4 2 4 3 4 4" xfId="9795" xr:uid="{2B62CE08-D85A-45DE-8EE6-400C3A3D622A}"/>
    <cellStyle name="Normal 4 2 4 3 4 5" xfId="18243" xr:uid="{17C74BE4-73A1-4B94-B409-BE7621CBB43D}"/>
    <cellStyle name="Normal 4 2 4 3 5" xfId="1669" xr:uid="{00000000-0005-0000-0000-00009A130000}"/>
    <cellStyle name="Normal 4 2 4 3 5 2" xfId="3899" xr:uid="{00000000-0005-0000-0000-00009B130000}"/>
    <cellStyle name="Normal 4 2 4 3 5 2 2" xfId="8121" xr:uid="{00000000-0005-0000-0000-00009C130000}"/>
    <cellStyle name="Normal 4 2 4 3 5 2 2 2" xfId="16571" xr:uid="{A58B78CC-4AE7-4E09-97A6-7D757625F658}"/>
    <cellStyle name="Normal 4 2 4 3 5 2 2 3" xfId="25018" xr:uid="{E03871FB-E8B2-4A13-B012-0AE675454881}"/>
    <cellStyle name="Normal 4 2 4 3 5 2 3" xfId="12353" xr:uid="{07B32495-0DD1-48C2-8FEF-49DA3349E5F5}"/>
    <cellStyle name="Normal 4 2 4 3 5 2 4" xfId="20801" xr:uid="{6EF4C8C3-CEFA-46FF-BFC4-0443EA624B64}"/>
    <cellStyle name="Normal 4 2 4 3 5 3" xfId="5976" xr:uid="{00000000-0005-0000-0000-00009D130000}"/>
    <cellStyle name="Normal 4 2 4 3 5 3 2" xfId="14426" xr:uid="{A40EEBAE-7F22-4D5B-A578-3C7EB4FCE817}"/>
    <cellStyle name="Normal 4 2 4 3 5 3 3" xfId="22873" xr:uid="{1AA8D515-0A80-4EB1-8CCB-25203BE22EB4}"/>
    <cellStyle name="Normal 4 2 4 3 5 4" xfId="10208" xr:uid="{C95B0825-6E6A-4272-AE2C-C9F25B397415}"/>
    <cellStyle name="Normal 4 2 4 3 5 5" xfId="18656" xr:uid="{09CEA2F8-AC8E-4BC5-92B0-041ED9F10A52}"/>
    <cellStyle name="Normal 4 2 4 3 6" xfId="2083" xr:uid="{00000000-0005-0000-0000-00009E130000}"/>
    <cellStyle name="Normal 4 2 4 3 6 2" xfId="4312" xr:uid="{00000000-0005-0000-0000-00009F130000}"/>
    <cellStyle name="Normal 4 2 4 3 6 2 2" xfId="8534" xr:uid="{00000000-0005-0000-0000-0000A0130000}"/>
    <cellStyle name="Normal 4 2 4 3 6 2 2 2" xfId="16984" xr:uid="{606AFB29-3FA4-4699-83B8-776F683AFAE5}"/>
    <cellStyle name="Normal 4 2 4 3 6 2 2 3" xfId="25431" xr:uid="{6949BD1B-E407-413C-B63C-A21DE35A9D4B}"/>
    <cellStyle name="Normal 4 2 4 3 6 2 3" xfId="12766" xr:uid="{F2869695-6490-45C8-8EA8-A725C0744B63}"/>
    <cellStyle name="Normal 4 2 4 3 6 2 4" xfId="21214" xr:uid="{D0ADB42B-DAF3-4BAB-A550-52EF9AF50D8E}"/>
    <cellStyle name="Normal 4 2 4 3 6 3" xfId="6389" xr:uid="{00000000-0005-0000-0000-0000A1130000}"/>
    <cellStyle name="Normal 4 2 4 3 6 3 2" xfId="14839" xr:uid="{3E5A4CDC-688E-4E4F-AB7C-F0704BEC57A0}"/>
    <cellStyle name="Normal 4 2 4 3 6 3 3" xfId="23286" xr:uid="{501360F7-AB60-4C36-B7B2-260D835600DC}"/>
    <cellStyle name="Normal 4 2 4 3 6 4" xfId="10621" xr:uid="{FA771B22-3592-4D5F-9494-E254B2E5055B}"/>
    <cellStyle name="Normal 4 2 4 3 6 5" xfId="19069" xr:uid="{C3AADEFD-0A7C-412B-9018-4ED4C3470F57}"/>
    <cellStyle name="Normal 4 2 4 3 7" xfId="2519" xr:uid="{00000000-0005-0000-0000-0000A2130000}"/>
    <cellStyle name="Normal 4 2 4 3 7 2" xfId="6802" xr:uid="{00000000-0005-0000-0000-0000A3130000}"/>
    <cellStyle name="Normal 4 2 4 3 7 2 2" xfId="15252" xr:uid="{AED009EC-7E85-4434-8DE6-668B668C8AEB}"/>
    <cellStyle name="Normal 4 2 4 3 7 2 3" xfId="23699" xr:uid="{71C5DEB5-25F3-4101-8FD0-2E01044C4FAF}"/>
    <cellStyle name="Normal 4 2 4 3 7 3" xfId="11034" xr:uid="{5BA6C801-244C-447E-A597-64843ECCD36D}"/>
    <cellStyle name="Normal 4 2 4 3 7 4" xfId="19482" xr:uid="{5B147B5E-04DA-428C-B826-E574875DD14F}"/>
    <cellStyle name="Normal 4 2 4 3 8" xfId="4737" xr:uid="{00000000-0005-0000-0000-0000A4130000}"/>
    <cellStyle name="Normal 4 2 4 3 8 2" xfId="13187" xr:uid="{74F1856B-2039-4FB6-A1A9-D143F5BD73E1}"/>
    <cellStyle name="Normal 4 2 4 3 8 3" xfId="21634" xr:uid="{0E10F5E7-7B78-4D79-B332-B363DF66987A}"/>
    <cellStyle name="Normal 4 2 4 3 9" xfId="8969" xr:uid="{70F2AC7B-9106-4018-A2BC-2FA7E34D1BD9}"/>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2 2 2" xfId="15747" xr:uid="{481F40CE-E378-483C-810A-8436FE423AC6}"/>
    <cellStyle name="Normal 4 2 4 4 2 2 2 3" xfId="24194" xr:uid="{49352D2E-3277-46FA-8166-D71058D434DA}"/>
    <cellStyle name="Normal 4 2 4 4 2 2 3" xfId="11529" xr:uid="{E4D9ABD0-D6D9-43E4-82E5-EC1BBAC75FF2}"/>
    <cellStyle name="Normal 4 2 4 4 2 2 4" xfId="19977" xr:uid="{3783F6BC-E82E-4B5B-ABF1-C863800D93F5}"/>
    <cellStyle name="Normal 4 2 4 4 2 3" xfId="5152" xr:uid="{00000000-0005-0000-0000-0000A9130000}"/>
    <cellStyle name="Normal 4 2 4 4 2 3 2" xfId="13602" xr:uid="{88096DF2-8A34-40CE-87DE-A5EE5DF1D230}"/>
    <cellStyle name="Normal 4 2 4 4 2 3 3" xfId="22049" xr:uid="{6B2025CA-BA2E-47C1-A032-7B44FAAB0D8E}"/>
    <cellStyle name="Normal 4 2 4 4 2 4" xfId="9384" xr:uid="{1B8BA5BB-2A88-4862-AA85-4E627BE0EE29}"/>
    <cellStyle name="Normal 4 2 4 4 2 5" xfId="17832" xr:uid="{25D657DD-CCCC-400C-B14E-0E61F7EE64A2}"/>
    <cellStyle name="Normal 4 2 4 4 3" xfId="1258" xr:uid="{00000000-0005-0000-0000-0000AA130000}"/>
    <cellStyle name="Normal 4 2 4 4 3 2" xfId="3488" xr:uid="{00000000-0005-0000-0000-0000AB130000}"/>
    <cellStyle name="Normal 4 2 4 4 3 2 2" xfId="7710" xr:uid="{00000000-0005-0000-0000-0000AC130000}"/>
    <cellStyle name="Normal 4 2 4 4 3 2 2 2" xfId="16160" xr:uid="{EBCD98FA-F9F6-40B7-9455-4B8773CA3057}"/>
    <cellStyle name="Normal 4 2 4 4 3 2 2 3" xfId="24607" xr:uid="{89070BAF-F1EE-4153-AD59-26A80240BCF3}"/>
    <cellStyle name="Normal 4 2 4 4 3 2 3" xfId="11942" xr:uid="{47D896EF-93D9-4538-B7B8-8773E625504F}"/>
    <cellStyle name="Normal 4 2 4 4 3 2 4" xfId="20390" xr:uid="{8E4B01FB-F927-458B-A503-00A48BE43561}"/>
    <cellStyle name="Normal 4 2 4 4 3 3" xfId="5565" xr:uid="{00000000-0005-0000-0000-0000AD130000}"/>
    <cellStyle name="Normal 4 2 4 4 3 3 2" xfId="14015" xr:uid="{33339ADE-82D4-4330-9022-F22D11576CB4}"/>
    <cellStyle name="Normal 4 2 4 4 3 3 3" xfId="22462" xr:uid="{AA148C56-8433-4510-AFE1-B41B8AEC5049}"/>
    <cellStyle name="Normal 4 2 4 4 3 4" xfId="9797" xr:uid="{E844129B-CB9C-4AD8-A5CF-87F66CD7F4C7}"/>
    <cellStyle name="Normal 4 2 4 4 3 5" xfId="18245" xr:uid="{668C7EE8-0877-470A-95C6-29C7C71F9C22}"/>
    <cellStyle name="Normal 4 2 4 4 4" xfId="1671" xr:uid="{00000000-0005-0000-0000-0000AE130000}"/>
    <cellStyle name="Normal 4 2 4 4 4 2" xfId="3901" xr:uid="{00000000-0005-0000-0000-0000AF130000}"/>
    <cellStyle name="Normal 4 2 4 4 4 2 2" xfId="8123" xr:uid="{00000000-0005-0000-0000-0000B0130000}"/>
    <cellStyle name="Normal 4 2 4 4 4 2 2 2" xfId="16573" xr:uid="{9DF88436-92A3-49E2-8DC6-6A84E7B2E61C}"/>
    <cellStyle name="Normal 4 2 4 4 4 2 2 3" xfId="25020" xr:uid="{0AB8234A-CA51-4541-BD1E-1FFD3C769958}"/>
    <cellStyle name="Normal 4 2 4 4 4 2 3" xfId="12355" xr:uid="{83C1E604-63C5-4464-A7DA-B044058B9520}"/>
    <cellStyle name="Normal 4 2 4 4 4 2 4" xfId="20803" xr:uid="{DD7C4B67-18C0-44E4-AD8B-F9B05C1C88ED}"/>
    <cellStyle name="Normal 4 2 4 4 4 3" xfId="5978" xr:uid="{00000000-0005-0000-0000-0000B1130000}"/>
    <cellStyle name="Normal 4 2 4 4 4 3 2" xfId="14428" xr:uid="{9D9654F6-706F-400E-B061-8E4583825F99}"/>
    <cellStyle name="Normal 4 2 4 4 4 3 3" xfId="22875" xr:uid="{E3D7D1C0-5E3E-4497-9600-B6FA944B13A1}"/>
    <cellStyle name="Normal 4 2 4 4 4 4" xfId="10210" xr:uid="{E9A7ECEF-AD5B-4308-94BD-0736231AE168}"/>
    <cellStyle name="Normal 4 2 4 4 4 5" xfId="18658" xr:uid="{3E4D4A0D-83E0-4BE5-B12B-8045AB5E6609}"/>
    <cellStyle name="Normal 4 2 4 4 5" xfId="2085" xr:uid="{00000000-0005-0000-0000-0000B2130000}"/>
    <cellStyle name="Normal 4 2 4 4 5 2" xfId="4314" xr:uid="{00000000-0005-0000-0000-0000B3130000}"/>
    <cellStyle name="Normal 4 2 4 4 5 2 2" xfId="8536" xr:uid="{00000000-0005-0000-0000-0000B4130000}"/>
    <cellStyle name="Normal 4 2 4 4 5 2 2 2" xfId="16986" xr:uid="{D9D2A5EF-83B8-417F-968C-2186544D1B7D}"/>
    <cellStyle name="Normal 4 2 4 4 5 2 2 3" xfId="25433" xr:uid="{D46F0018-6BE8-4FF0-8CF0-584F5DABFC6A}"/>
    <cellStyle name="Normal 4 2 4 4 5 2 3" xfId="12768" xr:uid="{B4A5328E-A497-4BE1-9E61-47512A08FD1D}"/>
    <cellStyle name="Normal 4 2 4 4 5 2 4" xfId="21216" xr:uid="{63D2E032-0A02-4450-8C7F-18FBA04C1E6F}"/>
    <cellStyle name="Normal 4 2 4 4 5 3" xfId="6391" xr:uid="{00000000-0005-0000-0000-0000B5130000}"/>
    <cellStyle name="Normal 4 2 4 4 5 3 2" xfId="14841" xr:uid="{2F9E8E7F-3DA8-47E5-ABC8-9D96843296DC}"/>
    <cellStyle name="Normal 4 2 4 4 5 3 3" xfId="23288" xr:uid="{46C05929-C4DF-4FCF-B44C-6D67D661BA83}"/>
    <cellStyle name="Normal 4 2 4 4 5 4" xfId="10623" xr:uid="{8174491C-374B-46B6-AC4F-11FBA732F25D}"/>
    <cellStyle name="Normal 4 2 4 4 5 5" xfId="19071" xr:uid="{318AFC76-7A0D-4C41-9D91-6964294B70B6}"/>
    <cellStyle name="Normal 4 2 4 4 6" xfId="2521" xr:uid="{00000000-0005-0000-0000-0000B6130000}"/>
    <cellStyle name="Normal 4 2 4 4 6 2" xfId="6804" xr:uid="{00000000-0005-0000-0000-0000B7130000}"/>
    <cellStyle name="Normal 4 2 4 4 6 2 2" xfId="15254" xr:uid="{8ED5C0F2-9355-41CB-8B3B-197DA956B3A4}"/>
    <cellStyle name="Normal 4 2 4 4 6 2 3" xfId="23701" xr:uid="{7CB0F379-B4C8-4B72-AB01-AB1674528188}"/>
    <cellStyle name="Normal 4 2 4 4 6 3" xfId="11036" xr:uid="{6322D521-336D-45BC-B871-1CE124997AA3}"/>
    <cellStyle name="Normal 4 2 4 4 6 4" xfId="19484" xr:uid="{E2667848-0869-4A5F-870F-84D5B0A3F487}"/>
    <cellStyle name="Normal 4 2 4 4 7" xfId="4739" xr:uid="{00000000-0005-0000-0000-0000B8130000}"/>
    <cellStyle name="Normal 4 2 4 4 7 2" xfId="13189" xr:uid="{F418B09A-5A12-479E-A92B-7E922C2F6D1E}"/>
    <cellStyle name="Normal 4 2 4 4 7 3" xfId="21636" xr:uid="{5A293408-2952-43D9-9DE3-D13F296F5041}"/>
    <cellStyle name="Normal 4 2 4 4 8" xfId="8971" xr:uid="{D0AA3DCD-31E5-4FF3-B692-7843C16FC5B1}"/>
    <cellStyle name="Normal 4 2 4 4 9" xfId="17419" xr:uid="{7413C322-9D0B-4079-BAF0-0F0059B13FA3}"/>
    <cellStyle name="Normal 4 2 4 5" xfId="831" xr:uid="{00000000-0005-0000-0000-0000B9130000}"/>
    <cellStyle name="Normal 4 2 4 5 2" xfId="3068" xr:uid="{00000000-0005-0000-0000-0000BA130000}"/>
    <cellStyle name="Normal 4 2 4 5 2 2" xfId="7290" xr:uid="{00000000-0005-0000-0000-0000BB130000}"/>
    <cellStyle name="Normal 4 2 4 5 2 2 2" xfId="15740" xr:uid="{754D5024-85BE-42CE-8108-16CD7E22E812}"/>
    <cellStyle name="Normal 4 2 4 5 2 2 3" xfId="24187" xr:uid="{61460F32-7190-4662-9800-623B2ECEE5BD}"/>
    <cellStyle name="Normal 4 2 4 5 2 3" xfId="11522" xr:uid="{490E2BDA-4DCF-43D5-9032-ECBA4DD3B99F}"/>
    <cellStyle name="Normal 4 2 4 5 2 4" xfId="19970" xr:uid="{82CC9772-8341-4F56-BE85-D60EDE8F4C0D}"/>
    <cellStyle name="Normal 4 2 4 5 3" xfId="5145" xr:uid="{00000000-0005-0000-0000-0000BC130000}"/>
    <cellStyle name="Normal 4 2 4 5 3 2" xfId="13595" xr:uid="{102BB0A8-6D45-4D83-B9FD-2B89252EBE9E}"/>
    <cellStyle name="Normal 4 2 4 5 3 3" xfId="22042" xr:uid="{CC702F48-3677-4A00-BC95-AB7EA62AFBAB}"/>
    <cellStyle name="Normal 4 2 4 5 4" xfId="9377" xr:uid="{F7551A52-700C-48A1-807C-618F5DDF1451}"/>
    <cellStyle name="Normal 4 2 4 5 5" xfId="17825" xr:uid="{FEEAFD60-7B39-410C-B691-A36F4C799D5A}"/>
    <cellStyle name="Normal 4 2 4 6" xfId="1251" xr:uid="{00000000-0005-0000-0000-0000BD130000}"/>
    <cellStyle name="Normal 4 2 4 6 2" xfId="3481" xr:uid="{00000000-0005-0000-0000-0000BE130000}"/>
    <cellStyle name="Normal 4 2 4 6 2 2" xfId="7703" xr:uid="{00000000-0005-0000-0000-0000BF130000}"/>
    <cellStyle name="Normal 4 2 4 6 2 2 2" xfId="16153" xr:uid="{B1B4581B-F598-44DF-B5C6-7B322A76025A}"/>
    <cellStyle name="Normal 4 2 4 6 2 2 3" xfId="24600" xr:uid="{296C1F26-3E70-4F47-AE9D-A8ADEFC14389}"/>
    <cellStyle name="Normal 4 2 4 6 2 3" xfId="11935" xr:uid="{680975C4-E1E6-4689-9FB1-B697503EB12B}"/>
    <cellStyle name="Normal 4 2 4 6 2 4" xfId="20383" xr:uid="{D82446CA-4049-451D-B6E9-504BCAE06D45}"/>
    <cellStyle name="Normal 4 2 4 6 3" xfId="5558" xr:uid="{00000000-0005-0000-0000-0000C0130000}"/>
    <cellStyle name="Normal 4 2 4 6 3 2" xfId="14008" xr:uid="{EA1D2633-4AFF-4E7E-A496-1796DC311E1C}"/>
    <cellStyle name="Normal 4 2 4 6 3 3" xfId="22455" xr:uid="{C0FE8C50-735F-44FF-994D-DEE3FCFA497A}"/>
    <cellStyle name="Normal 4 2 4 6 4" xfId="9790" xr:uid="{B2FFAD87-48A5-49ED-9BBF-538CA4A897D4}"/>
    <cellStyle name="Normal 4 2 4 6 5" xfId="18238" xr:uid="{6D7E3805-9003-41A5-AA50-8B1A0EAD92E0}"/>
    <cellStyle name="Normal 4 2 4 7" xfId="1664" xr:uid="{00000000-0005-0000-0000-0000C1130000}"/>
    <cellStyle name="Normal 4 2 4 7 2" xfId="3894" xr:uid="{00000000-0005-0000-0000-0000C2130000}"/>
    <cellStyle name="Normal 4 2 4 7 2 2" xfId="8116" xr:uid="{00000000-0005-0000-0000-0000C3130000}"/>
    <cellStyle name="Normal 4 2 4 7 2 2 2" xfId="16566" xr:uid="{6B457955-62E1-4042-9802-4763272EEBC2}"/>
    <cellStyle name="Normal 4 2 4 7 2 2 3" xfId="25013" xr:uid="{05991698-CFCB-4CE3-A266-59423AFEA2A2}"/>
    <cellStyle name="Normal 4 2 4 7 2 3" xfId="12348" xr:uid="{BC09A295-6733-4FDD-A28F-BF83E5DB52C7}"/>
    <cellStyle name="Normal 4 2 4 7 2 4" xfId="20796" xr:uid="{B1C01438-344D-4AFB-807C-039661BFFEF4}"/>
    <cellStyle name="Normal 4 2 4 7 3" xfId="5971" xr:uid="{00000000-0005-0000-0000-0000C4130000}"/>
    <cellStyle name="Normal 4 2 4 7 3 2" xfId="14421" xr:uid="{D1EF2D7C-0D0E-40FA-A061-CF830D959E02}"/>
    <cellStyle name="Normal 4 2 4 7 3 3" xfId="22868" xr:uid="{E3DF700D-5B26-400A-A492-D3903CF3E57B}"/>
    <cellStyle name="Normal 4 2 4 7 4" xfId="10203" xr:uid="{D48A6567-9A25-425A-B0C9-19278EF32BAD}"/>
    <cellStyle name="Normal 4 2 4 7 5" xfId="18651" xr:uid="{4027CBCC-6BC7-4347-9872-FF3B09E1C9EF}"/>
    <cellStyle name="Normal 4 2 4 8" xfId="2078" xr:uid="{00000000-0005-0000-0000-0000C5130000}"/>
    <cellStyle name="Normal 4 2 4 8 2" xfId="4307" xr:uid="{00000000-0005-0000-0000-0000C6130000}"/>
    <cellStyle name="Normal 4 2 4 8 2 2" xfId="8529" xr:uid="{00000000-0005-0000-0000-0000C7130000}"/>
    <cellStyle name="Normal 4 2 4 8 2 2 2" xfId="16979" xr:uid="{AE2A0E82-5E9D-4710-AC49-9B25AC9D92D7}"/>
    <cellStyle name="Normal 4 2 4 8 2 2 3" xfId="25426" xr:uid="{73D715AE-587D-423F-9C62-368D8D54A937}"/>
    <cellStyle name="Normal 4 2 4 8 2 3" xfId="12761" xr:uid="{31286D81-2073-46E0-A397-D6CD1523E3FB}"/>
    <cellStyle name="Normal 4 2 4 8 2 4" xfId="21209" xr:uid="{78EE5E9E-6B8F-4E0F-BCD1-F05589C3EF0C}"/>
    <cellStyle name="Normal 4 2 4 8 3" xfId="6384" xr:uid="{00000000-0005-0000-0000-0000C8130000}"/>
    <cellStyle name="Normal 4 2 4 8 3 2" xfId="14834" xr:uid="{877BE094-5883-4C22-B6F3-4F30EEA8A7DC}"/>
    <cellStyle name="Normal 4 2 4 8 3 3" xfId="23281" xr:uid="{0FFAB324-D13F-46CC-8C56-5FA8D8F0A78D}"/>
    <cellStyle name="Normal 4 2 4 8 4" xfId="10616" xr:uid="{A41F9834-5FC6-47B9-8D46-4D6AD0C03CD5}"/>
    <cellStyle name="Normal 4 2 4 8 5" xfId="19064" xr:uid="{0A82E6BC-74AE-4CE9-A0E0-F0C3E56CCB99}"/>
    <cellStyle name="Normal 4 2 4 9" xfId="2514" xr:uid="{00000000-0005-0000-0000-0000C9130000}"/>
    <cellStyle name="Normal 4 2 4 9 2" xfId="6797" xr:uid="{00000000-0005-0000-0000-0000CA130000}"/>
    <cellStyle name="Normal 4 2 4 9 2 2" xfId="15247" xr:uid="{17E74069-8D26-4286-93D2-8801A5928A6B}"/>
    <cellStyle name="Normal 4 2 4 9 2 3" xfId="23694" xr:uid="{C34C5601-F93F-4573-8059-87A61A245BA0}"/>
    <cellStyle name="Normal 4 2 4 9 3" xfId="11029" xr:uid="{51F777F5-CC89-472C-9177-5A7ED6D8CCE3}"/>
    <cellStyle name="Normal 4 2 4 9 4" xfId="19477" xr:uid="{C02F5048-0CDF-452C-A342-63D45679E4D7}"/>
    <cellStyle name="Normal 4 2 5" xfId="363" xr:uid="{00000000-0005-0000-0000-0000CB130000}"/>
    <cellStyle name="Normal 4 2 5 10" xfId="17420" xr:uid="{18A9EC00-8B54-4CA5-B31E-D13C18F58073}"/>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2 2 2" xfId="15749" xr:uid="{8EB62B93-59BF-4A41-83AB-8B5E8C92E8FB}"/>
    <cellStyle name="Normal 4 2 5 2 2 2 2 3" xfId="24196" xr:uid="{1D754E05-394D-4CDB-8CD6-5DEFC0180DEE}"/>
    <cellStyle name="Normal 4 2 5 2 2 2 3" xfId="11531" xr:uid="{0F43C816-380A-448E-BCBB-98BBB057BFEA}"/>
    <cellStyle name="Normal 4 2 5 2 2 2 4" xfId="19979" xr:uid="{674335CE-64A0-42FA-B77A-5A4FFA92BA25}"/>
    <cellStyle name="Normal 4 2 5 2 2 3" xfId="5154" xr:uid="{00000000-0005-0000-0000-0000D0130000}"/>
    <cellStyle name="Normal 4 2 5 2 2 3 2" xfId="13604" xr:uid="{B6B9CB72-5F71-4CFF-9DB7-9EF7AAD34A81}"/>
    <cellStyle name="Normal 4 2 5 2 2 3 3" xfId="22051" xr:uid="{7593D776-DDBA-425E-AF81-6F713DD3331A}"/>
    <cellStyle name="Normal 4 2 5 2 2 4" xfId="9386" xr:uid="{E59B33E8-6BED-4C35-85C9-E0CE3DD8C517}"/>
    <cellStyle name="Normal 4 2 5 2 2 5" xfId="17834" xr:uid="{D9B5A7E3-28D5-47F8-B66F-E997EA360F58}"/>
    <cellStyle name="Normal 4 2 5 2 3" xfId="1260" xr:uid="{00000000-0005-0000-0000-0000D1130000}"/>
    <cellStyle name="Normal 4 2 5 2 3 2" xfId="3490" xr:uid="{00000000-0005-0000-0000-0000D2130000}"/>
    <cellStyle name="Normal 4 2 5 2 3 2 2" xfId="7712" xr:uid="{00000000-0005-0000-0000-0000D3130000}"/>
    <cellStyle name="Normal 4 2 5 2 3 2 2 2" xfId="16162" xr:uid="{7D548D6B-4542-4000-81DC-B1904B9187F7}"/>
    <cellStyle name="Normal 4 2 5 2 3 2 2 3" xfId="24609" xr:uid="{0E515FD0-185F-4577-A27B-13E4A22E5609}"/>
    <cellStyle name="Normal 4 2 5 2 3 2 3" xfId="11944" xr:uid="{EB89BB93-71D8-425E-BB05-BAC186EBCAA6}"/>
    <cellStyle name="Normal 4 2 5 2 3 2 4" xfId="20392" xr:uid="{9F2CD08A-4AEA-4577-B429-FCD996949DD2}"/>
    <cellStyle name="Normal 4 2 5 2 3 3" xfId="5567" xr:uid="{00000000-0005-0000-0000-0000D4130000}"/>
    <cellStyle name="Normal 4 2 5 2 3 3 2" xfId="14017" xr:uid="{0C56C553-F51A-4733-AA92-03586E1AACB4}"/>
    <cellStyle name="Normal 4 2 5 2 3 3 3" xfId="22464" xr:uid="{0831D6F0-56A4-4F95-862D-7B18B5D873D0}"/>
    <cellStyle name="Normal 4 2 5 2 3 4" xfId="9799" xr:uid="{4C3D2C5F-85C0-4B44-B09A-9B0EE687B173}"/>
    <cellStyle name="Normal 4 2 5 2 3 5" xfId="18247" xr:uid="{ADBAA302-88A9-4BAA-844F-2BCB633A8F21}"/>
    <cellStyle name="Normal 4 2 5 2 4" xfId="1673" xr:uid="{00000000-0005-0000-0000-0000D5130000}"/>
    <cellStyle name="Normal 4 2 5 2 4 2" xfId="3903" xr:uid="{00000000-0005-0000-0000-0000D6130000}"/>
    <cellStyle name="Normal 4 2 5 2 4 2 2" xfId="8125" xr:uid="{00000000-0005-0000-0000-0000D7130000}"/>
    <cellStyle name="Normal 4 2 5 2 4 2 2 2" xfId="16575" xr:uid="{058B2EDB-DAC9-4071-AF38-C7B6EEB305A3}"/>
    <cellStyle name="Normal 4 2 5 2 4 2 2 3" xfId="25022" xr:uid="{E0C1223D-FB00-4838-9430-BCB2FCCC51E7}"/>
    <cellStyle name="Normal 4 2 5 2 4 2 3" xfId="12357" xr:uid="{97E06440-11F0-4342-8F69-2DB41513A45A}"/>
    <cellStyle name="Normal 4 2 5 2 4 2 4" xfId="20805" xr:uid="{85E6B906-1FBA-42FF-81CA-CD9B678447B8}"/>
    <cellStyle name="Normal 4 2 5 2 4 3" xfId="5980" xr:uid="{00000000-0005-0000-0000-0000D8130000}"/>
    <cellStyle name="Normal 4 2 5 2 4 3 2" xfId="14430" xr:uid="{CCF3936E-5BC8-4B84-BDE5-F5E270C1A13E}"/>
    <cellStyle name="Normal 4 2 5 2 4 3 3" xfId="22877" xr:uid="{DC3E185D-CBD6-42FA-B5B7-1F20CC159F7C}"/>
    <cellStyle name="Normal 4 2 5 2 4 4" xfId="10212" xr:uid="{95CC5136-4E8F-40F0-86D1-DF2E79727C7C}"/>
    <cellStyle name="Normal 4 2 5 2 4 5" xfId="18660" xr:uid="{BFBD6F7D-49BB-4C9C-AABF-DCFA24CDFF60}"/>
    <cellStyle name="Normal 4 2 5 2 5" xfId="2087" xr:uid="{00000000-0005-0000-0000-0000D9130000}"/>
    <cellStyle name="Normal 4 2 5 2 5 2" xfId="4316" xr:uid="{00000000-0005-0000-0000-0000DA130000}"/>
    <cellStyle name="Normal 4 2 5 2 5 2 2" xfId="8538" xr:uid="{00000000-0005-0000-0000-0000DB130000}"/>
    <cellStyle name="Normal 4 2 5 2 5 2 2 2" xfId="16988" xr:uid="{30B3DBC1-9763-409E-A3AC-C03A3EB5A0D0}"/>
    <cellStyle name="Normal 4 2 5 2 5 2 2 3" xfId="25435" xr:uid="{317E4FE5-6FA8-4D2E-A6B0-997B4C035323}"/>
    <cellStyle name="Normal 4 2 5 2 5 2 3" xfId="12770" xr:uid="{40A7ADAB-9995-4560-98BD-10C93ABDF7E8}"/>
    <cellStyle name="Normal 4 2 5 2 5 2 4" xfId="21218" xr:uid="{C14590FB-BC1F-4DCA-8356-BA049191C38F}"/>
    <cellStyle name="Normal 4 2 5 2 5 3" xfId="6393" xr:uid="{00000000-0005-0000-0000-0000DC130000}"/>
    <cellStyle name="Normal 4 2 5 2 5 3 2" xfId="14843" xr:uid="{E57F53BF-EFCE-4CE0-9C9E-B32FD4875E45}"/>
    <cellStyle name="Normal 4 2 5 2 5 3 3" xfId="23290" xr:uid="{D89A1E21-36EE-413E-99F6-3AC71D2EC173}"/>
    <cellStyle name="Normal 4 2 5 2 5 4" xfId="10625" xr:uid="{34EA79B7-BD86-4EA5-9921-B940508DD6C2}"/>
    <cellStyle name="Normal 4 2 5 2 5 5" xfId="19073" xr:uid="{CD7C5FFC-D807-47F4-8F4D-DB9D9C583F5E}"/>
    <cellStyle name="Normal 4 2 5 2 6" xfId="2523" xr:uid="{00000000-0005-0000-0000-0000DD130000}"/>
    <cellStyle name="Normal 4 2 5 2 6 2" xfId="6806" xr:uid="{00000000-0005-0000-0000-0000DE130000}"/>
    <cellStyle name="Normal 4 2 5 2 6 2 2" xfId="15256" xr:uid="{70371869-CC34-4BB6-B98F-8F42B6BF1122}"/>
    <cellStyle name="Normal 4 2 5 2 6 2 3" xfId="23703" xr:uid="{4C774CDA-479B-4341-B47D-76013DD8F414}"/>
    <cellStyle name="Normal 4 2 5 2 6 3" xfId="11038" xr:uid="{EC6EB8F0-7A95-4F7B-B5CC-26B88F49EFFF}"/>
    <cellStyle name="Normal 4 2 5 2 6 4" xfId="19486" xr:uid="{A045311B-A0FC-4E59-ADCA-3317BA30490C}"/>
    <cellStyle name="Normal 4 2 5 2 7" xfId="4741" xr:uid="{00000000-0005-0000-0000-0000DF130000}"/>
    <cellStyle name="Normal 4 2 5 2 7 2" xfId="13191" xr:uid="{87B1232D-8AA0-4959-8943-DDA496F038B1}"/>
    <cellStyle name="Normal 4 2 5 2 7 3" xfId="21638" xr:uid="{7CEA1D28-327A-41FB-A814-B0B123F538D1}"/>
    <cellStyle name="Normal 4 2 5 2 8" xfId="8973" xr:uid="{AFBCA039-8922-4DA4-87A5-AB4E9981DC8D}"/>
    <cellStyle name="Normal 4 2 5 2 9" xfId="17421" xr:uid="{2EC9B50A-A4F0-497A-B8B9-1A47350D7D06}"/>
    <cellStyle name="Normal 4 2 5 3" xfId="839" xr:uid="{00000000-0005-0000-0000-0000E0130000}"/>
    <cellStyle name="Normal 4 2 5 3 2" xfId="3076" xr:uid="{00000000-0005-0000-0000-0000E1130000}"/>
    <cellStyle name="Normal 4 2 5 3 2 2" xfId="7298" xr:uid="{00000000-0005-0000-0000-0000E2130000}"/>
    <cellStyle name="Normal 4 2 5 3 2 2 2" xfId="15748" xr:uid="{513F8245-C141-41EA-9B1D-5060CF267198}"/>
    <cellStyle name="Normal 4 2 5 3 2 2 3" xfId="24195" xr:uid="{69BE3070-D0CE-4D83-869A-0F82018EDF6F}"/>
    <cellStyle name="Normal 4 2 5 3 2 3" xfId="11530" xr:uid="{AA1D138E-429E-48D1-A26E-815D835A623D}"/>
    <cellStyle name="Normal 4 2 5 3 2 4" xfId="19978" xr:uid="{2DE77B65-B6F1-42F2-82BB-28BB020BDA08}"/>
    <cellStyle name="Normal 4 2 5 3 3" xfId="5153" xr:uid="{00000000-0005-0000-0000-0000E3130000}"/>
    <cellStyle name="Normal 4 2 5 3 3 2" xfId="13603" xr:uid="{E4B7BFD4-7CC6-4B22-A96E-C9E06B7FC94B}"/>
    <cellStyle name="Normal 4 2 5 3 3 3" xfId="22050" xr:uid="{B80CCD4B-89C4-4BB7-8F8F-3BC1A902A6C8}"/>
    <cellStyle name="Normal 4 2 5 3 4" xfId="9385" xr:uid="{295CDBCE-81D0-4971-9DB2-E99128DE5219}"/>
    <cellStyle name="Normal 4 2 5 3 5" xfId="17833" xr:uid="{A785FD96-6C61-413A-BB64-A8ADB543BB91}"/>
    <cellStyle name="Normal 4 2 5 4" xfId="1259" xr:uid="{00000000-0005-0000-0000-0000E4130000}"/>
    <cellStyle name="Normal 4 2 5 4 2" xfId="3489" xr:uid="{00000000-0005-0000-0000-0000E5130000}"/>
    <cellStyle name="Normal 4 2 5 4 2 2" xfId="7711" xr:uid="{00000000-0005-0000-0000-0000E6130000}"/>
    <cellStyle name="Normal 4 2 5 4 2 2 2" xfId="16161" xr:uid="{39D72C95-CA87-42AA-8538-9C5DDE74C635}"/>
    <cellStyle name="Normal 4 2 5 4 2 2 3" xfId="24608" xr:uid="{97107FCB-E668-470F-8597-37BE84FD2333}"/>
    <cellStyle name="Normal 4 2 5 4 2 3" xfId="11943" xr:uid="{23C1EF7D-1D12-46F2-8972-B17095454EC5}"/>
    <cellStyle name="Normal 4 2 5 4 2 4" xfId="20391" xr:uid="{1FBD1543-AB4C-4CDC-9AEA-0FB7A8E16F7D}"/>
    <cellStyle name="Normal 4 2 5 4 3" xfId="5566" xr:uid="{00000000-0005-0000-0000-0000E7130000}"/>
    <cellStyle name="Normal 4 2 5 4 3 2" xfId="14016" xr:uid="{8E91FA68-3B53-4931-8252-EE06E20F1D12}"/>
    <cellStyle name="Normal 4 2 5 4 3 3" xfId="22463" xr:uid="{8CADCB20-28D7-43AA-B0CD-D29BEE4CD519}"/>
    <cellStyle name="Normal 4 2 5 4 4" xfId="9798" xr:uid="{45410749-27A4-4572-8F07-32BC785A759C}"/>
    <cellStyle name="Normal 4 2 5 4 5" xfId="18246" xr:uid="{7D287E67-AD21-44A9-8D3E-FEE4958EB53B}"/>
    <cellStyle name="Normal 4 2 5 5" xfId="1672" xr:uid="{00000000-0005-0000-0000-0000E8130000}"/>
    <cellStyle name="Normal 4 2 5 5 2" xfId="3902" xr:uid="{00000000-0005-0000-0000-0000E9130000}"/>
    <cellStyle name="Normal 4 2 5 5 2 2" xfId="8124" xr:uid="{00000000-0005-0000-0000-0000EA130000}"/>
    <cellStyle name="Normal 4 2 5 5 2 2 2" xfId="16574" xr:uid="{F0536B77-20E6-4545-BA72-52FEAB530862}"/>
    <cellStyle name="Normal 4 2 5 5 2 2 3" xfId="25021" xr:uid="{FDEA575B-D92A-4F93-A69D-5B371559F3FA}"/>
    <cellStyle name="Normal 4 2 5 5 2 3" xfId="12356" xr:uid="{B0ACC6F9-61EC-4EAC-9DF6-3BC86B560CD7}"/>
    <cellStyle name="Normal 4 2 5 5 2 4" xfId="20804" xr:uid="{53B267CF-1D87-406D-92E8-16C7214178C1}"/>
    <cellStyle name="Normal 4 2 5 5 3" xfId="5979" xr:uid="{00000000-0005-0000-0000-0000EB130000}"/>
    <cellStyle name="Normal 4 2 5 5 3 2" xfId="14429" xr:uid="{A3163F17-5A44-4B57-8E40-28C3061874CD}"/>
    <cellStyle name="Normal 4 2 5 5 3 3" xfId="22876" xr:uid="{0FC90800-9B5A-4F03-A272-61FCF0773BA6}"/>
    <cellStyle name="Normal 4 2 5 5 4" xfId="10211" xr:uid="{7470B0AB-0554-49F8-A008-19B8ED347852}"/>
    <cellStyle name="Normal 4 2 5 5 5" xfId="18659" xr:uid="{1E085A75-CA54-4274-B133-0E72FAE890B9}"/>
    <cellStyle name="Normal 4 2 5 6" xfId="2086" xr:uid="{00000000-0005-0000-0000-0000EC130000}"/>
    <cellStyle name="Normal 4 2 5 6 2" xfId="4315" xr:uid="{00000000-0005-0000-0000-0000ED130000}"/>
    <cellStyle name="Normal 4 2 5 6 2 2" xfId="8537" xr:uid="{00000000-0005-0000-0000-0000EE130000}"/>
    <cellStyle name="Normal 4 2 5 6 2 2 2" xfId="16987" xr:uid="{3A130AD8-0DC2-4A0F-A6EC-709F1FAB141D}"/>
    <cellStyle name="Normal 4 2 5 6 2 2 3" xfId="25434" xr:uid="{B2DC7B84-40C3-471D-916D-BDB9F372AF1E}"/>
    <cellStyle name="Normal 4 2 5 6 2 3" xfId="12769" xr:uid="{87F4C981-E566-493C-BD2A-D68CA087AFE4}"/>
    <cellStyle name="Normal 4 2 5 6 2 4" xfId="21217" xr:uid="{FE32F904-11E4-4C03-842C-7E8B2ADDC6DA}"/>
    <cellStyle name="Normal 4 2 5 6 3" xfId="6392" xr:uid="{00000000-0005-0000-0000-0000EF130000}"/>
    <cellStyle name="Normal 4 2 5 6 3 2" xfId="14842" xr:uid="{34F1A750-D33A-43C5-8F3D-229FC337AA11}"/>
    <cellStyle name="Normal 4 2 5 6 3 3" xfId="23289" xr:uid="{ADE90C2E-AB00-4A3C-A15D-AF43508D42EB}"/>
    <cellStyle name="Normal 4 2 5 6 4" xfId="10624" xr:uid="{99F8A778-C4B7-42A2-8BC0-FAFBCD4312FE}"/>
    <cellStyle name="Normal 4 2 5 6 5" xfId="19072" xr:uid="{BFE90D54-BD8E-497A-9A27-9F8B80D97E9E}"/>
    <cellStyle name="Normal 4 2 5 7" xfId="2522" xr:uid="{00000000-0005-0000-0000-0000F0130000}"/>
    <cellStyle name="Normal 4 2 5 7 2" xfId="6805" xr:uid="{00000000-0005-0000-0000-0000F1130000}"/>
    <cellStyle name="Normal 4 2 5 7 2 2" xfId="15255" xr:uid="{641F5445-76EB-4238-815B-4CD873FBACE3}"/>
    <cellStyle name="Normal 4 2 5 7 2 3" xfId="23702" xr:uid="{B7864640-2067-4F29-8A37-DAD46EBB802F}"/>
    <cellStyle name="Normal 4 2 5 7 3" xfId="11037" xr:uid="{19DAF0B8-AB39-4978-8367-547E283C4F9F}"/>
    <cellStyle name="Normal 4 2 5 7 4" xfId="19485" xr:uid="{BE58DCD4-3C4D-4FC8-AA78-E97BA9E9AC83}"/>
    <cellStyle name="Normal 4 2 5 8" xfId="4740" xr:uid="{00000000-0005-0000-0000-0000F2130000}"/>
    <cellStyle name="Normal 4 2 5 8 2" xfId="13190" xr:uid="{0C7B7A81-4C03-48F7-8217-609BF34F7035}"/>
    <cellStyle name="Normal 4 2 5 8 3" xfId="21637" xr:uid="{5FBC1765-C5CC-4638-8BD3-E2F68A6F83D7}"/>
    <cellStyle name="Normal 4 2 5 9" xfId="8972" xr:uid="{8C2340BE-7B7E-485D-BF5B-06AAE2B0C966}"/>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2 2 2" xfId="15750" xr:uid="{A53242F1-9C19-4185-8F02-6405C586AD6F}"/>
    <cellStyle name="Normal 4 2 6 2 2 2 3" xfId="24197" xr:uid="{F53AD76A-B357-434D-8FB8-5EA55A2E3764}"/>
    <cellStyle name="Normal 4 2 6 2 2 3" xfId="11532" xr:uid="{EC8B62B0-EA48-46D7-BE53-F11E4A316DE1}"/>
    <cellStyle name="Normal 4 2 6 2 2 4" xfId="19980" xr:uid="{1A3100C5-B416-4EDB-80B6-2F40B1E71E6F}"/>
    <cellStyle name="Normal 4 2 6 2 3" xfId="5155" xr:uid="{00000000-0005-0000-0000-0000F7130000}"/>
    <cellStyle name="Normal 4 2 6 2 3 2" xfId="13605" xr:uid="{4B49C8C7-E72F-4BB0-AF44-40325497030C}"/>
    <cellStyle name="Normal 4 2 6 2 3 3" xfId="22052" xr:uid="{4DD03988-A962-4884-AF5F-D124F37AFFA1}"/>
    <cellStyle name="Normal 4 2 6 2 4" xfId="9387" xr:uid="{96775E69-D8C0-4FA1-9A0B-2FBCFF7C628C}"/>
    <cellStyle name="Normal 4 2 6 2 5" xfId="17835" xr:uid="{BD8216B6-DBB4-4BAA-ADAC-252C0CCBD857}"/>
    <cellStyle name="Normal 4 2 6 3" xfId="1261" xr:uid="{00000000-0005-0000-0000-0000F8130000}"/>
    <cellStyle name="Normal 4 2 6 3 2" xfId="3491" xr:uid="{00000000-0005-0000-0000-0000F9130000}"/>
    <cellStyle name="Normal 4 2 6 3 2 2" xfId="7713" xr:uid="{00000000-0005-0000-0000-0000FA130000}"/>
    <cellStyle name="Normal 4 2 6 3 2 2 2" xfId="16163" xr:uid="{2F7A31E4-F20F-4EF9-9C89-1A8A42B2FF8B}"/>
    <cellStyle name="Normal 4 2 6 3 2 2 3" xfId="24610" xr:uid="{490AD800-94B3-4D18-9C5E-9003C2CCBB76}"/>
    <cellStyle name="Normal 4 2 6 3 2 3" xfId="11945" xr:uid="{24201198-FF76-45FD-901F-A7B9CA05EAA0}"/>
    <cellStyle name="Normal 4 2 6 3 2 4" xfId="20393" xr:uid="{8C33D470-65D2-4C50-A476-33641DC3933A}"/>
    <cellStyle name="Normal 4 2 6 3 3" xfId="5568" xr:uid="{00000000-0005-0000-0000-0000FB130000}"/>
    <cellStyle name="Normal 4 2 6 3 3 2" xfId="14018" xr:uid="{E92EE548-3C0E-4571-BFC9-654B834883A9}"/>
    <cellStyle name="Normal 4 2 6 3 3 3" xfId="22465" xr:uid="{5D1540CF-EED5-48CA-A777-D79E91074D8E}"/>
    <cellStyle name="Normal 4 2 6 3 4" xfId="9800" xr:uid="{8358FD9F-2818-4C37-9380-630843D8064C}"/>
    <cellStyle name="Normal 4 2 6 3 5" xfId="18248" xr:uid="{80530A09-C4DF-40D9-B298-758A8F605435}"/>
    <cellStyle name="Normal 4 2 6 4" xfId="1674" xr:uid="{00000000-0005-0000-0000-0000FC130000}"/>
    <cellStyle name="Normal 4 2 6 4 2" xfId="3904" xr:uid="{00000000-0005-0000-0000-0000FD130000}"/>
    <cellStyle name="Normal 4 2 6 4 2 2" xfId="8126" xr:uid="{00000000-0005-0000-0000-0000FE130000}"/>
    <cellStyle name="Normal 4 2 6 4 2 2 2" xfId="16576" xr:uid="{507EB125-C2DF-45A2-8741-C178F9CCD93A}"/>
    <cellStyle name="Normal 4 2 6 4 2 2 3" xfId="25023" xr:uid="{6B4B20AA-E731-49A2-810A-46DE533DCFEF}"/>
    <cellStyle name="Normal 4 2 6 4 2 3" xfId="12358" xr:uid="{88B75EEA-6263-41F4-86B1-D17FA215D872}"/>
    <cellStyle name="Normal 4 2 6 4 2 4" xfId="20806" xr:uid="{7908CF09-7E11-4D7A-89E7-2533916FE3F2}"/>
    <cellStyle name="Normal 4 2 6 4 3" xfId="5981" xr:uid="{00000000-0005-0000-0000-0000FF130000}"/>
    <cellStyle name="Normal 4 2 6 4 3 2" xfId="14431" xr:uid="{B61B448C-E6FA-4116-8808-312CBD5D2E2F}"/>
    <cellStyle name="Normal 4 2 6 4 3 3" xfId="22878" xr:uid="{1C7CEFA0-2BE2-49B9-B380-F56EEDF23E60}"/>
    <cellStyle name="Normal 4 2 6 4 4" xfId="10213" xr:uid="{D1187D6E-1FBF-4EC5-ADD5-659FAEE60C49}"/>
    <cellStyle name="Normal 4 2 6 4 5" xfId="18661" xr:uid="{30F8F2C3-D7A0-4E1E-A5A3-26AA27844B26}"/>
    <cellStyle name="Normal 4 2 6 5" xfId="2088" xr:uid="{00000000-0005-0000-0000-000000140000}"/>
    <cellStyle name="Normal 4 2 6 5 2" xfId="4317" xr:uid="{00000000-0005-0000-0000-000001140000}"/>
    <cellStyle name="Normal 4 2 6 5 2 2" xfId="8539" xr:uid="{00000000-0005-0000-0000-000002140000}"/>
    <cellStyle name="Normal 4 2 6 5 2 2 2" xfId="16989" xr:uid="{DEC374A2-548E-4C89-9889-4330CAAEC2AC}"/>
    <cellStyle name="Normal 4 2 6 5 2 2 3" xfId="25436" xr:uid="{3F62F6D4-8778-4B43-867B-9F0ACCB26D7F}"/>
    <cellStyle name="Normal 4 2 6 5 2 3" xfId="12771" xr:uid="{03BFCAB1-6ECD-4663-881C-7273A61968A5}"/>
    <cellStyle name="Normal 4 2 6 5 2 4" xfId="21219" xr:uid="{1CD24B84-44A8-4821-B2B4-42BD83C86382}"/>
    <cellStyle name="Normal 4 2 6 5 3" xfId="6394" xr:uid="{00000000-0005-0000-0000-000003140000}"/>
    <cellStyle name="Normal 4 2 6 5 3 2" xfId="14844" xr:uid="{139D8C46-6948-4387-B467-E86BF6BA2BFB}"/>
    <cellStyle name="Normal 4 2 6 5 3 3" xfId="23291" xr:uid="{C786472B-AEAE-4004-A521-2644FEF7ACF0}"/>
    <cellStyle name="Normal 4 2 6 5 4" xfId="10626" xr:uid="{18661581-0A53-40B5-A9D4-66227E5FB88B}"/>
    <cellStyle name="Normal 4 2 6 5 5" xfId="19074" xr:uid="{3CD17F21-8029-4F10-B6BE-3D7362E3FA04}"/>
    <cellStyle name="Normal 4 2 6 6" xfId="2524" xr:uid="{00000000-0005-0000-0000-000004140000}"/>
    <cellStyle name="Normal 4 2 6 6 2" xfId="6807" xr:uid="{00000000-0005-0000-0000-000005140000}"/>
    <cellStyle name="Normal 4 2 6 6 2 2" xfId="15257" xr:uid="{6BFC1240-90B3-4474-B6EA-48B1B72059D4}"/>
    <cellStyle name="Normal 4 2 6 6 2 3" xfId="23704" xr:uid="{2B8DAE4A-04DD-40AD-8D37-302D9C40075C}"/>
    <cellStyle name="Normal 4 2 6 6 3" xfId="11039" xr:uid="{22F838C0-BEE3-4148-B022-FC42B28C4609}"/>
    <cellStyle name="Normal 4 2 6 6 4" xfId="19487" xr:uid="{C6DD0803-71B2-4578-855F-3D79C88FDC3A}"/>
    <cellStyle name="Normal 4 2 6 7" xfId="4742" xr:uid="{00000000-0005-0000-0000-000006140000}"/>
    <cellStyle name="Normal 4 2 6 7 2" xfId="13192" xr:uid="{4E2BDC1E-CCAC-43ED-AAF3-B6A33B0CD720}"/>
    <cellStyle name="Normal 4 2 6 7 3" xfId="21639" xr:uid="{904C3FB3-D4FC-445B-A3D1-72BE63112523}"/>
    <cellStyle name="Normal 4 2 6 8" xfId="8974" xr:uid="{38995B3C-4DE2-49AC-AE13-827F1CAD550A}"/>
    <cellStyle name="Normal 4 2 6 9" xfId="17422" xr:uid="{EA49E787-5CAB-4243-956E-9C9D41F11736}"/>
    <cellStyle name="Normal 4 3" xfId="366" xr:uid="{00000000-0005-0000-0000-000007140000}"/>
    <cellStyle name="Normal 4 3 10" xfId="8975" xr:uid="{34446F36-CEC5-4AFE-A9DC-20771D0B8299}"/>
    <cellStyle name="Normal 4 3 11" xfId="17423" xr:uid="{12B3192B-CF75-4633-90B7-98EF79D0383A}"/>
    <cellStyle name="Normal 4 3 2" xfId="367" xr:uid="{00000000-0005-0000-0000-000008140000}"/>
    <cellStyle name="Normal 4 3 2 2" xfId="368" xr:uid="{00000000-0005-0000-0000-000009140000}"/>
    <cellStyle name="Normal 4 3 2 2 2" xfId="369" xr:uid="{00000000-0005-0000-0000-00000A140000}"/>
    <cellStyle name="Normal 4 3 2 2 2 10" xfId="8976" xr:uid="{D08A8B80-AD0B-4200-94EC-D1B9E6948EAC}"/>
    <cellStyle name="Normal 4 3 2 2 2 11" xfId="17424" xr:uid="{F4E4E3E9-9FEC-4176-ABB9-7F125AB509D8}"/>
    <cellStyle name="Normal 4 3 2 2 2 2" xfId="370" xr:uid="{00000000-0005-0000-0000-00000B140000}"/>
    <cellStyle name="Normal 4 3 2 2 2 2 10" xfId="17425" xr:uid="{27D35568-9419-48E5-8484-2E9F84EA1E66}"/>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2 2 2" xfId="15754" xr:uid="{612BC096-143D-4B70-A4A7-3B56AAF1535D}"/>
    <cellStyle name="Normal 4 3 2 2 2 2 2 2 2 2 3" xfId="24201" xr:uid="{3290E089-05BE-4C14-A3B5-AC7968102977}"/>
    <cellStyle name="Normal 4 3 2 2 2 2 2 2 2 3" xfId="11536" xr:uid="{231A7B64-1BCB-45D5-8493-3859F2E162E0}"/>
    <cellStyle name="Normal 4 3 2 2 2 2 2 2 2 4" xfId="19984" xr:uid="{AD57F77A-8836-4007-9DFC-B93A1414064C}"/>
    <cellStyle name="Normal 4 3 2 2 2 2 2 2 3" xfId="5159" xr:uid="{00000000-0005-0000-0000-000010140000}"/>
    <cellStyle name="Normal 4 3 2 2 2 2 2 2 3 2" xfId="13609" xr:uid="{F0A6AA51-F94E-422D-9A7A-3710E76DF6C9}"/>
    <cellStyle name="Normal 4 3 2 2 2 2 2 2 3 3" xfId="22056" xr:uid="{067E4998-CE4B-4885-95E8-1E89ADC66AC9}"/>
    <cellStyle name="Normal 4 3 2 2 2 2 2 2 4" xfId="9391" xr:uid="{D07C0A88-709C-4B34-A402-8F9EFA773C5E}"/>
    <cellStyle name="Normal 4 3 2 2 2 2 2 2 5" xfId="17839" xr:uid="{73E23D0E-1DB6-4E1B-854F-53ED3EFC905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2 2 2" xfId="16167" xr:uid="{0BD65543-9A25-4F40-9C55-2034911CA7E4}"/>
    <cellStyle name="Normal 4 3 2 2 2 2 2 3 2 2 3" xfId="24614" xr:uid="{DC14A8A3-8056-4023-94C9-6259E5448AEB}"/>
    <cellStyle name="Normal 4 3 2 2 2 2 2 3 2 3" xfId="11949" xr:uid="{2C675F1F-7952-4989-96B3-35E7F939A068}"/>
    <cellStyle name="Normal 4 3 2 2 2 2 2 3 2 4" xfId="20397" xr:uid="{4C1D4466-50C3-4D55-B9C2-81E3F415C224}"/>
    <cellStyle name="Normal 4 3 2 2 2 2 2 3 3" xfId="5572" xr:uid="{00000000-0005-0000-0000-000014140000}"/>
    <cellStyle name="Normal 4 3 2 2 2 2 2 3 3 2" xfId="14022" xr:uid="{819B8CFE-8D9B-4205-8A0B-65F691938380}"/>
    <cellStyle name="Normal 4 3 2 2 2 2 2 3 3 3" xfId="22469" xr:uid="{DE07B60B-A70A-48D0-B14E-5DF2BAE49F05}"/>
    <cellStyle name="Normal 4 3 2 2 2 2 2 3 4" xfId="9804" xr:uid="{2C30BF5A-A933-4228-A1B2-E49DE73C5248}"/>
    <cellStyle name="Normal 4 3 2 2 2 2 2 3 5" xfId="18252" xr:uid="{999C2399-1DF9-465E-9C7E-2276E66CE0F9}"/>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2 2 2" xfId="16580" xr:uid="{7C315565-1F5D-415A-81AB-3DFCEAA3C969}"/>
    <cellStyle name="Normal 4 3 2 2 2 2 2 4 2 2 3" xfId="25027" xr:uid="{F1823ED8-B02F-4FC9-A8CD-318D8E0AF3D7}"/>
    <cellStyle name="Normal 4 3 2 2 2 2 2 4 2 3" xfId="12362" xr:uid="{A76333DC-2987-4B16-8B98-A99D74045057}"/>
    <cellStyle name="Normal 4 3 2 2 2 2 2 4 2 4" xfId="20810" xr:uid="{229A4E31-6916-4F04-B861-A879E1DD9448}"/>
    <cellStyle name="Normal 4 3 2 2 2 2 2 4 3" xfId="5985" xr:uid="{00000000-0005-0000-0000-000018140000}"/>
    <cellStyle name="Normal 4 3 2 2 2 2 2 4 3 2" xfId="14435" xr:uid="{63530197-CC9E-4F7A-B5C1-31F50B6D95A2}"/>
    <cellStyle name="Normal 4 3 2 2 2 2 2 4 3 3" xfId="22882" xr:uid="{B451E202-B992-4FF3-BFA4-42BCBD776499}"/>
    <cellStyle name="Normal 4 3 2 2 2 2 2 4 4" xfId="10217" xr:uid="{D2D79C9A-1F94-41B5-A051-F5A364D693BA}"/>
    <cellStyle name="Normal 4 3 2 2 2 2 2 4 5" xfId="18665" xr:uid="{9C38D71D-D72E-408D-A1C4-4A85357922D7}"/>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2 2 2" xfId="16993" xr:uid="{A14F8743-8DD3-4D41-AE37-BD353C78EDAD}"/>
    <cellStyle name="Normal 4 3 2 2 2 2 2 5 2 2 3" xfId="25440" xr:uid="{2FB3A7F9-9E28-458A-8065-355E7C71B7E8}"/>
    <cellStyle name="Normal 4 3 2 2 2 2 2 5 2 3" xfId="12775" xr:uid="{7C34BAEE-B9F1-4619-96C3-F92A639FD855}"/>
    <cellStyle name="Normal 4 3 2 2 2 2 2 5 2 4" xfId="21223" xr:uid="{805763BA-A390-4012-9699-B4E4D362FEB8}"/>
    <cellStyle name="Normal 4 3 2 2 2 2 2 5 3" xfId="6398" xr:uid="{00000000-0005-0000-0000-00001C140000}"/>
    <cellStyle name="Normal 4 3 2 2 2 2 2 5 3 2" xfId="14848" xr:uid="{0F06C792-E4BB-4CE6-873E-55877FEAF97C}"/>
    <cellStyle name="Normal 4 3 2 2 2 2 2 5 3 3" xfId="23295" xr:uid="{DA954FD7-7B4A-4D0E-8752-4140BF21753D}"/>
    <cellStyle name="Normal 4 3 2 2 2 2 2 5 4" xfId="10630" xr:uid="{FFF2BE69-3092-4C48-BA0B-7734EBA6F4BD}"/>
    <cellStyle name="Normal 4 3 2 2 2 2 2 5 5" xfId="19078" xr:uid="{D463772B-3B12-4BC2-B5F1-F57A67D31DA9}"/>
    <cellStyle name="Normal 4 3 2 2 2 2 2 6" xfId="2528" xr:uid="{00000000-0005-0000-0000-00001D140000}"/>
    <cellStyle name="Normal 4 3 2 2 2 2 2 6 2" xfId="6811" xr:uid="{00000000-0005-0000-0000-00001E140000}"/>
    <cellStyle name="Normal 4 3 2 2 2 2 2 6 2 2" xfId="15261" xr:uid="{B8676705-578E-45EA-96F4-46D5C1D6E061}"/>
    <cellStyle name="Normal 4 3 2 2 2 2 2 6 2 3" xfId="23708" xr:uid="{E4ECFE96-876C-431B-9E20-DC862134806E}"/>
    <cellStyle name="Normal 4 3 2 2 2 2 2 6 3" xfId="11043" xr:uid="{31A47D9E-FFED-4D0D-BDF1-CCEF6D0F247C}"/>
    <cellStyle name="Normal 4 3 2 2 2 2 2 6 4" xfId="19491" xr:uid="{0119A0F1-8CC5-41A7-B819-B833057EBF43}"/>
    <cellStyle name="Normal 4 3 2 2 2 2 2 7" xfId="4746" xr:uid="{00000000-0005-0000-0000-00001F140000}"/>
    <cellStyle name="Normal 4 3 2 2 2 2 2 7 2" xfId="13196" xr:uid="{20C114F1-E8F5-4093-877E-E2796704C710}"/>
    <cellStyle name="Normal 4 3 2 2 2 2 2 7 3" xfId="21643" xr:uid="{CF48E59C-1688-4D14-B7E3-3C7EC462F973}"/>
    <cellStyle name="Normal 4 3 2 2 2 2 2 8" xfId="8978" xr:uid="{5747B050-C6D6-4E19-BA1A-2729DE5E42E7}"/>
    <cellStyle name="Normal 4 3 2 2 2 2 2 9" xfId="17426" xr:uid="{4F73523D-C3B5-4DDC-BAC0-4777BBFC8071}"/>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2 2 2" xfId="15753" xr:uid="{B2DB19FF-B95A-4805-A29D-6A056A81386E}"/>
    <cellStyle name="Normal 4 3 2 2 2 2 3 2 2 3" xfId="24200" xr:uid="{EEF09807-B74A-4F44-BEEB-8AA953F1B546}"/>
    <cellStyle name="Normal 4 3 2 2 2 2 3 2 3" xfId="11535" xr:uid="{95265701-53A8-4323-A2EA-511831B424B1}"/>
    <cellStyle name="Normal 4 3 2 2 2 2 3 2 4" xfId="19983" xr:uid="{4232CE84-D3A4-4B10-A3F0-300BE26D1BD2}"/>
    <cellStyle name="Normal 4 3 2 2 2 2 3 3" xfId="5158" xr:uid="{00000000-0005-0000-0000-000023140000}"/>
    <cellStyle name="Normal 4 3 2 2 2 2 3 3 2" xfId="13608" xr:uid="{E6DA1B59-D9B2-4252-85D2-C23E3D18F275}"/>
    <cellStyle name="Normal 4 3 2 2 2 2 3 3 3" xfId="22055" xr:uid="{9E062E3F-D9BF-4D65-9057-934637AA5BBF}"/>
    <cellStyle name="Normal 4 3 2 2 2 2 3 4" xfId="9390" xr:uid="{6F264183-47EB-478D-B82B-9DD3D84030E4}"/>
    <cellStyle name="Normal 4 3 2 2 2 2 3 5" xfId="17838" xr:uid="{B1D3E811-ACF4-4792-B035-86817B925744}"/>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2 2 2" xfId="16166" xr:uid="{62218A7D-FEB7-4017-9EAE-441FD8BA3819}"/>
    <cellStyle name="Normal 4 3 2 2 2 2 4 2 2 3" xfId="24613" xr:uid="{780A3A00-A100-4813-93FD-59705F0F5323}"/>
    <cellStyle name="Normal 4 3 2 2 2 2 4 2 3" xfId="11948" xr:uid="{8D08E7B7-35DB-4B04-8B11-ECEF3039E72D}"/>
    <cellStyle name="Normal 4 3 2 2 2 2 4 2 4" xfId="20396" xr:uid="{7F6EB586-8DEE-478D-9052-082F44CCEB1D}"/>
    <cellStyle name="Normal 4 3 2 2 2 2 4 3" xfId="5571" xr:uid="{00000000-0005-0000-0000-000027140000}"/>
    <cellStyle name="Normal 4 3 2 2 2 2 4 3 2" xfId="14021" xr:uid="{0AE6D0A9-8C6B-4A20-9F69-92585117EB74}"/>
    <cellStyle name="Normal 4 3 2 2 2 2 4 3 3" xfId="22468" xr:uid="{DC55A7ED-458E-4C75-AE63-2A519E200EF5}"/>
    <cellStyle name="Normal 4 3 2 2 2 2 4 4" xfId="9803" xr:uid="{D7AB3F60-6F69-4AD0-845E-938C46EF4541}"/>
    <cellStyle name="Normal 4 3 2 2 2 2 4 5" xfId="18251" xr:uid="{08F995E6-7DCC-464C-AF81-B28A4B784E1D}"/>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2 2 2" xfId="16579" xr:uid="{CDE638F8-D90C-48A1-B78F-DB65DB279B1A}"/>
    <cellStyle name="Normal 4 3 2 2 2 2 5 2 2 3" xfId="25026" xr:uid="{A70A5E66-243E-4EEA-B0C2-30776158F283}"/>
    <cellStyle name="Normal 4 3 2 2 2 2 5 2 3" xfId="12361" xr:uid="{6CB58AB2-FDB5-4435-90A5-F9C5BDAC8B1D}"/>
    <cellStyle name="Normal 4 3 2 2 2 2 5 2 4" xfId="20809" xr:uid="{79FFFCC0-2815-4AF0-8B55-00A917867B41}"/>
    <cellStyle name="Normal 4 3 2 2 2 2 5 3" xfId="5984" xr:uid="{00000000-0005-0000-0000-00002B140000}"/>
    <cellStyle name="Normal 4 3 2 2 2 2 5 3 2" xfId="14434" xr:uid="{C11C7671-16CC-4604-B8F3-8AE939042A07}"/>
    <cellStyle name="Normal 4 3 2 2 2 2 5 3 3" xfId="22881" xr:uid="{230B4427-4EFD-49CF-80AA-2B4A478D60B9}"/>
    <cellStyle name="Normal 4 3 2 2 2 2 5 4" xfId="10216" xr:uid="{623158C5-01CC-4D3B-B96D-FAD51A31E347}"/>
    <cellStyle name="Normal 4 3 2 2 2 2 5 5" xfId="18664" xr:uid="{5014D6DA-D681-4BA3-8C10-1645FC1BD4F9}"/>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2 2 2" xfId="16992" xr:uid="{175E0992-74C7-4CF1-A474-317ECE11379F}"/>
    <cellStyle name="Normal 4 3 2 2 2 2 6 2 2 3" xfId="25439" xr:uid="{3619DD65-E0D5-4F8A-826D-6C4DE06F2695}"/>
    <cellStyle name="Normal 4 3 2 2 2 2 6 2 3" xfId="12774" xr:uid="{23BBA1EB-3353-4E04-9394-08D7EDE667B9}"/>
    <cellStyle name="Normal 4 3 2 2 2 2 6 2 4" xfId="21222" xr:uid="{E1D891AE-8C57-4E23-ABA9-C7E8EC7CB94F}"/>
    <cellStyle name="Normal 4 3 2 2 2 2 6 3" xfId="6397" xr:uid="{00000000-0005-0000-0000-00002F140000}"/>
    <cellStyle name="Normal 4 3 2 2 2 2 6 3 2" xfId="14847" xr:uid="{0B016A91-BD29-4B83-A453-FE51C66B9760}"/>
    <cellStyle name="Normal 4 3 2 2 2 2 6 3 3" xfId="23294" xr:uid="{9719CEA8-4FF9-473D-B4A3-AEAF074EFB3C}"/>
    <cellStyle name="Normal 4 3 2 2 2 2 6 4" xfId="10629" xr:uid="{669FB10A-925A-477B-AD4A-7C7B895C4CBD}"/>
    <cellStyle name="Normal 4 3 2 2 2 2 6 5" xfId="19077" xr:uid="{C8794D64-F7A7-498A-A445-418B5810E8C2}"/>
    <cellStyle name="Normal 4 3 2 2 2 2 7" xfId="2527" xr:uid="{00000000-0005-0000-0000-000030140000}"/>
    <cellStyle name="Normal 4 3 2 2 2 2 7 2" xfId="6810" xr:uid="{00000000-0005-0000-0000-000031140000}"/>
    <cellStyle name="Normal 4 3 2 2 2 2 7 2 2" xfId="15260" xr:uid="{C093AAD2-10C2-451A-84C4-DF2D0FF3463C}"/>
    <cellStyle name="Normal 4 3 2 2 2 2 7 2 3" xfId="23707" xr:uid="{85D80BA5-1915-45BA-980F-D186874E24F7}"/>
    <cellStyle name="Normal 4 3 2 2 2 2 7 3" xfId="11042" xr:uid="{AD3513B0-7035-472A-A3FD-04C948A48057}"/>
    <cellStyle name="Normal 4 3 2 2 2 2 7 4" xfId="19490" xr:uid="{1A40EF07-6F77-4BE2-B5AF-51058CF9A58B}"/>
    <cellStyle name="Normal 4 3 2 2 2 2 8" xfId="4745" xr:uid="{00000000-0005-0000-0000-000032140000}"/>
    <cellStyle name="Normal 4 3 2 2 2 2 8 2" xfId="13195" xr:uid="{AF03D2C4-6556-4FD9-B82B-295B9108ECEF}"/>
    <cellStyle name="Normal 4 3 2 2 2 2 8 3" xfId="21642" xr:uid="{AFA23B2D-CB3C-4C30-BAFA-44641445FB8B}"/>
    <cellStyle name="Normal 4 3 2 2 2 2 9" xfId="8977" xr:uid="{BB1E3C9E-2CAF-4D3C-A08D-F1827EE422E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2 2 2" xfId="15755" xr:uid="{7ED8ED98-AD2B-4354-B22B-A09FB666462E}"/>
    <cellStyle name="Normal 4 3 2 2 2 3 2 2 2 3" xfId="24202" xr:uid="{4BEBCE1F-EFD1-4EE8-8A61-A411987EF209}"/>
    <cellStyle name="Normal 4 3 2 2 2 3 2 2 3" xfId="11537" xr:uid="{23F19E6C-D9B1-47DD-A31E-E691D639B366}"/>
    <cellStyle name="Normal 4 3 2 2 2 3 2 2 4" xfId="19985" xr:uid="{9F58E6FC-48C9-4E66-9B8F-58FC990AF585}"/>
    <cellStyle name="Normal 4 3 2 2 2 3 2 3" xfId="5160" xr:uid="{00000000-0005-0000-0000-000037140000}"/>
    <cellStyle name="Normal 4 3 2 2 2 3 2 3 2" xfId="13610" xr:uid="{876BD1D9-AEB8-447F-842A-6DD6C7070C0A}"/>
    <cellStyle name="Normal 4 3 2 2 2 3 2 3 3" xfId="22057" xr:uid="{7D99C7DB-D360-495B-8CB4-48B24E38EEE2}"/>
    <cellStyle name="Normal 4 3 2 2 2 3 2 4" xfId="9392" xr:uid="{7D63B100-9B40-45F0-8FF8-4261CC212E40}"/>
    <cellStyle name="Normal 4 3 2 2 2 3 2 5" xfId="17840" xr:uid="{B2627E87-0D64-40B3-9725-0E1B2967CF09}"/>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2 2 2" xfId="16168" xr:uid="{9C10CA05-CE73-47C8-B271-70DF5BB5DB0D}"/>
    <cellStyle name="Normal 4 3 2 2 2 3 3 2 2 3" xfId="24615" xr:uid="{88C05384-AED3-4636-8F6C-0062579E3733}"/>
    <cellStyle name="Normal 4 3 2 2 2 3 3 2 3" xfId="11950" xr:uid="{CBBD04A9-F733-4F58-8ED6-72F9BDF341C6}"/>
    <cellStyle name="Normal 4 3 2 2 2 3 3 2 4" xfId="20398" xr:uid="{D572CA0C-F37F-4097-9468-C7E26B1EEC64}"/>
    <cellStyle name="Normal 4 3 2 2 2 3 3 3" xfId="5573" xr:uid="{00000000-0005-0000-0000-00003B140000}"/>
    <cellStyle name="Normal 4 3 2 2 2 3 3 3 2" xfId="14023" xr:uid="{1A04D7A5-C62C-411C-90B0-2BE51686A10F}"/>
    <cellStyle name="Normal 4 3 2 2 2 3 3 3 3" xfId="22470" xr:uid="{F9A5881D-F61D-464F-8DC0-9612C15529D5}"/>
    <cellStyle name="Normal 4 3 2 2 2 3 3 4" xfId="9805" xr:uid="{7B6DAB0F-E1D4-4D1D-B42A-EA4ED8A20007}"/>
    <cellStyle name="Normal 4 3 2 2 2 3 3 5" xfId="18253" xr:uid="{0767089A-3D4B-4F3B-9113-71B0CCDE64E1}"/>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2 2 2" xfId="16581" xr:uid="{73F2CBA5-67AC-4C84-BD70-11A9AE65E254}"/>
    <cellStyle name="Normal 4 3 2 2 2 3 4 2 2 3" xfId="25028" xr:uid="{7DA06027-69BA-41D5-8CA5-652502E6F78C}"/>
    <cellStyle name="Normal 4 3 2 2 2 3 4 2 3" xfId="12363" xr:uid="{8121BC92-ECC1-413F-A9D0-3DB576E3CC61}"/>
    <cellStyle name="Normal 4 3 2 2 2 3 4 2 4" xfId="20811" xr:uid="{F548BBCE-CBEE-4F5F-B786-93FA05954F30}"/>
    <cellStyle name="Normal 4 3 2 2 2 3 4 3" xfId="5986" xr:uid="{00000000-0005-0000-0000-00003F140000}"/>
    <cellStyle name="Normal 4 3 2 2 2 3 4 3 2" xfId="14436" xr:uid="{9B17B4C8-BA4B-40EF-9ED3-CD2E661D98E0}"/>
    <cellStyle name="Normal 4 3 2 2 2 3 4 3 3" xfId="22883" xr:uid="{FBA6315B-11D7-466B-B703-41E6763DB739}"/>
    <cellStyle name="Normal 4 3 2 2 2 3 4 4" xfId="10218" xr:uid="{151135D7-92D2-482A-B60D-DD0414BA10F1}"/>
    <cellStyle name="Normal 4 3 2 2 2 3 4 5" xfId="18666" xr:uid="{ADDF94F0-57ED-42D5-9479-37B4FF0AD9F4}"/>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2 2 2" xfId="16994" xr:uid="{5613A168-4A4D-4105-9607-D6D950BD55F9}"/>
    <cellStyle name="Normal 4 3 2 2 2 3 5 2 2 3" xfId="25441" xr:uid="{E80CF075-3729-4007-8C29-75C7E5FA6287}"/>
    <cellStyle name="Normal 4 3 2 2 2 3 5 2 3" xfId="12776" xr:uid="{99D708C8-9447-4933-8D81-6E7387041205}"/>
    <cellStyle name="Normal 4 3 2 2 2 3 5 2 4" xfId="21224" xr:uid="{3E88C4AB-BF38-4DB1-A454-E14A8A995731}"/>
    <cellStyle name="Normal 4 3 2 2 2 3 5 3" xfId="6399" xr:uid="{00000000-0005-0000-0000-000043140000}"/>
    <cellStyle name="Normal 4 3 2 2 2 3 5 3 2" xfId="14849" xr:uid="{39D2FAFD-117A-4769-A117-0421A497E1F2}"/>
    <cellStyle name="Normal 4 3 2 2 2 3 5 3 3" xfId="23296" xr:uid="{69471D65-0D35-4B22-B3C7-1DEEF984079A}"/>
    <cellStyle name="Normal 4 3 2 2 2 3 5 4" xfId="10631" xr:uid="{137665CC-B21D-4B87-A24B-8038C0CAD58D}"/>
    <cellStyle name="Normal 4 3 2 2 2 3 5 5" xfId="19079" xr:uid="{650B8D53-A094-4E00-B304-56FF69ACE477}"/>
    <cellStyle name="Normal 4 3 2 2 2 3 6" xfId="2529" xr:uid="{00000000-0005-0000-0000-000044140000}"/>
    <cellStyle name="Normal 4 3 2 2 2 3 6 2" xfId="6812" xr:uid="{00000000-0005-0000-0000-000045140000}"/>
    <cellStyle name="Normal 4 3 2 2 2 3 6 2 2" xfId="15262" xr:uid="{FA456D05-35E4-4CFB-AFF7-AB9C17449372}"/>
    <cellStyle name="Normal 4 3 2 2 2 3 6 2 3" xfId="23709" xr:uid="{17E1476F-F05C-4F69-A03D-EB70685E672F}"/>
    <cellStyle name="Normal 4 3 2 2 2 3 6 3" xfId="11044" xr:uid="{29935824-D5D2-44E1-8601-C15E622E9768}"/>
    <cellStyle name="Normal 4 3 2 2 2 3 6 4" xfId="19492" xr:uid="{30A0EFD1-D25E-403A-91BB-120E6D2C3616}"/>
    <cellStyle name="Normal 4 3 2 2 2 3 7" xfId="4747" xr:uid="{00000000-0005-0000-0000-000046140000}"/>
    <cellStyle name="Normal 4 3 2 2 2 3 7 2" xfId="13197" xr:uid="{09119052-B87C-4D82-AECA-4282F18F740C}"/>
    <cellStyle name="Normal 4 3 2 2 2 3 7 3" xfId="21644" xr:uid="{AE7B4B9F-64B5-49FC-AED8-54DA87453AEF}"/>
    <cellStyle name="Normal 4 3 2 2 2 3 8" xfId="8979" xr:uid="{2FDA4E99-62FA-4F19-B284-2735C4BC74DB}"/>
    <cellStyle name="Normal 4 3 2 2 2 3 9" xfId="17427" xr:uid="{73D6E214-96BC-4970-8FA5-C55039333DB9}"/>
    <cellStyle name="Normal 4 3 2 2 2 4" xfId="844" xr:uid="{00000000-0005-0000-0000-000047140000}"/>
    <cellStyle name="Normal 4 3 2 2 2 4 2" xfId="3080" xr:uid="{00000000-0005-0000-0000-000048140000}"/>
    <cellStyle name="Normal 4 3 2 2 2 4 2 2" xfId="7302" xr:uid="{00000000-0005-0000-0000-000049140000}"/>
    <cellStyle name="Normal 4 3 2 2 2 4 2 2 2" xfId="15752" xr:uid="{B824EE54-6E75-49B7-A284-5C530ACCAD83}"/>
    <cellStyle name="Normal 4 3 2 2 2 4 2 2 3" xfId="24199" xr:uid="{4D0D70EC-6613-458C-AB0C-7092708275FA}"/>
    <cellStyle name="Normal 4 3 2 2 2 4 2 3" xfId="11534" xr:uid="{9428E907-22CC-4305-BC73-92985EF60760}"/>
    <cellStyle name="Normal 4 3 2 2 2 4 2 4" xfId="19982" xr:uid="{EAFC604E-88E1-411E-A149-21B3A55BA3A1}"/>
    <cellStyle name="Normal 4 3 2 2 2 4 3" xfId="5157" xr:uid="{00000000-0005-0000-0000-00004A140000}"/>
    <cellStyle name="Normal 4 3 2 2 2 4 3 2" xfId="13607" xr:uid="{769E2253-B632-4A31-9778-CD1E671C6202}"/>
    <cellStyle name="Normal 4 3 2 2 2 4 3 3" xfId="22054" xr:uid="{0F1B75C5-1F2F-4574-8F83-C905BCC908BC}"/>
    <cellStyle name="Normal 4 3 2 2 2 4 4" xfId="9389" xr:uid="{EBFFAAC3-E3C8-4727-A055-AEE9E07B5285}"/>
    <cellStyle name="Normal 4 3 2 2 2 4 5" xfId="17837" xr:uid="{160308B7-0AE6-4345-8820-71DF42ED6785}"/>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2 2 2" xfId="16165" xr:uid="{2F885FB8-D721-4CB4-A6E1-EFE84BB10DE3}"/>
    <cellStyle name="Normal 4 3 2 2 2 5 2 2 3" xfId="24612" xr:uid="{5D5F5E60-6C78-46F2-A8A1-D6029EAFA174}"/>
    <cellStyle name="Normal 4 3 2 2 2 5 2 3" xfId="11947" xr:uid="{0088A3FF-C041-4E4C-A944-246D42EF68D9}"/>
    <cellStyle name="Normal 4 3 2 2 2 5 2 4" xfId="20395" xr:uid="{139EDCA4-0658-4B64-8885-D6C93E9D0EF3}"/>
    <cellStyle name="Normal 4 3 2 2 2 5 3" xfId="5570" xr:uid="{00000000-0005-0000-0000-00004E140000}"/>
    <cellStyle name="Normal 4 3 2 2 2 5 3 2" xfId="14020" xr:uid="{879ECB7D-0BCC-4D4B-BC62-404D40CC0892}"/>
    <cellStyle name="Normal 4 3 2 2 2 5 3 3" xfId="22467" xr:uid="{D01308DA-AB29-479C-AF7B-84D9CCB5C2DF}"/>
    <cellStyle name="Normal 4 3 2 2 2 5 4" xfId="9802" xr:uid="{FF4895EC-B982-49F5-9B70-7AADB3040DDD}"/>
    <cellStyle name="Normal 4 3 2 2 2 5 5" xfId="18250" xr:uid="{7D80C49F-B788-4B06-BC8D-CBFED67B2D7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2 2 2" xfId="16578" xr:uid="{AFAAF05A-5736-48F3-A0FC-4711475CC54C}"/>
    <cellStyle name="Normal 4 3 2 2 2 6 2 2 3" xfId="25025" xr:uid="{93EEA386-C757-4FA6-AD49-2B56280063AC}"/>
    <cellStyle name="Normal 4 3 2 2 2 6 2 3" xfId="12360" xr:uid="{E7054953-34E5-43BF-AF91-4B1A74842CB6}"/>
    <cellStyle name="Normal 4 3 2 2 2 6 2 4" xfId="20808" xr:uid="{D8C7C5E5-4C1A-4631-9BC2-7B3F2BB30463}"/>
    <cellStyle name="Normal 4 3 2 2 2 6 3" xfId="5983" xr:uid="{00000000-0005-0000-0000-000052140000}"/>
    <cellStyle name="Normal 4 3 2 2 2 6 3 2" xfId="14433" xr:uid="{9090BF6E-0D33-4E97-B96E-3030813ACC8E}"/>
    <cellStyle name="Normal 4 3 2 2 2 6 3 3" xfId="22880" xr:uid="{015D9C2F-7A10-4E11-B6D9-D9E87D79B053}"/>
    <cellStyle name="Normal 4 3 2 2 2 6 4" xfId="10215" xr:uid="{F2B40BAB-6074-4B5D-88CB-B27E904CC6AC}"/>
    <cellStyle name="Normal 4 3 2 2 2 6 5" xfId="18663" xr:uid="{491C7105-348F-4F6B-981D-70A6B41AFA47}"/>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2 2 2" xfId="16991" xr:uid="{CE8900A2-4CF9-4F6B-AF00-589FC24ED0C2}"/>
    <cellStyle name="Normal 4 3 2 2 2 7 2 2 3" xfId="25438" xr:uid="{8C1F0536-66DB-49BF-B9D9-196EB91E3989}"/>
    <cellStyle name="Normal 4 3 2 2 2 7 2 3" xfId="12773" xr:uid="{7ECD6CE6-8C76-48D4-B9F6-6BAE7D67DC1E}"/>
    <cellStyle name="Normal 4 3 2 2 2 7 2 4" xfId="21221" xr:uid="{01929544-8330-4477-8B21-C2246A35D004}"/>
    <cellStyle name="Normal 4 3 2 2 2 7 3" xfId="6396" xr:uid="{00000000-0005-0000-0000-000056140000}"/>
    <cellStyle name="Normal 4 3 2 2 2 7 3 2" xfId="14846" xr:uid="{9C46295F-C82C-4287-8258-EBA5A0D5D791}"/>
    <cellStyle name="Normal 4 3 2 2 2 7 3 3" xfId="23293" xr:uid="{CDA57DF2-65B6-472A-86FF-CBB0D480560B}"/>
    <cellStyle name="Normal 4 3 2 2 2 7 4" xfId="10628" xr:uid="{62184A02-0DC2-404A-A582-42B671FE8D7B}"/>
    <cellStyle name="Normal 4 3 2 2 2 7 5" xfId="19076" xr:uid="{82C50985-C01F-43ED-ABDB-526733F0CD8A}"/>
    <cellStyle name="Normal 4 3 2 2 2 8" xfId="2526" xr:uid="{00000000-0005-0000-0000-000057140000}"/>
    <cellStyle name="Normal 4 3 2 2 2 8 2" xfId="6809" xr:uid="{00000000-0005-0000-0000-000058140000}"/>
    <cellStyle name="Normal 4 3 2 2 2 8 2 2" xfId="15259" xr:uid="{99823918-4277-414A-9E90-AAEFE43936E0}"/>
    <cellStyle name="Normal 4 3 2 2 2 8 2 3" xfId="23706" xr:uid="{75163EAF-0F56-444E-A804-0913ED0713C4}"/>
    <cellStyle name="Normal 4 3 2 2 2 8 3" xfId="11041" xr:uid="{962FC864-14CA-4680-9C2B-3C629ECD55D7}"/>
    <cellStyle name="Normal 4 3 2 2 2 8 4" xfId="19489" xr:uid="{47159389-99CD-4145-B6ED-666667511C1E}"/>
    <cellStyle name="Normal 4 3 2 2 2 9" xfId="4744" xr:uid="{00000000-0005-0000-0000-000059140000}"/>
    <cellStyle name="Normal 4 3 2 2 2 9 2" xfId="13194" xr:uid="{0BF0ABD2-41DD-4D61-A861-F1D89E5CA957}"/>
    <cellStyle name="Normal 4 3 2 2 2 9 3" xfId="21641" xr:uid="{BDE8AF21-0A42-4B97-AD85-4C8C423638A2}"/>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80" xr:uid="{6BFB93D9-6E12-4D5F-8A0F-8AB97A1F7A81}"/>
    <cellStyle name="Normal 4 3 3 11" xfId="17428" xr:uid="{DACCBFF3-4A8B-419B-9A55-AEAB7A3FC19C}"/>
    <cellStyle name="Normal 4 3 3 2" xfId="375" xr:uid="{00000000-0005-0000-0000-00005E140000}"/>
    <cellStyle name="Normal 4 3 3 2 10" xfId="17429" xr:uid="{691EA505-5B9E-445D-A557-FE199C375A02}"/>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2 2 2" xfId="15758" xr:uid="{97DDDB57-4B9C-4316-B955-403D7D3C4D0A}"/>
    <cellStyle name="Normal 4 3 3 2 2 2 2 2 3" xfId="24205" xr:uid="{399E9269-BD64-4173-A091-30E20AE6FE5A}"/>
    <cellStyle name="Normal 4 3 3 2 2 2 2 3" xfId="11540" xr:uid="{3CBBB3BC-746F-468E-9337-27ED19BB072E}"/>
    <cellStyle name="Normal 4 3 3 2 2 2 2 4" xfId="19988" xr:uid="{CD58828C-88BD-4780-9567-37DD922F426F}"/>
    <cellStyle name="Normal 4 3 3 2 2 2 3" xfId="5163" xr:uid="{00000000-0005-0000-0000-000063140000}"/>
    <cellStyle name="Normal 4 3 3 2 2 2 3 2" xfId="13613" xr:uid="{BA6A6CB2-3F90-4D20-A2B4-7F986B72DEE1}"/>
    <cellStyle name="Normal 4 3 3 2 2 2 3 3" xfId="22060" xr:uid="{84A65002-EF85-47F2-ACC4-E2C24D139082}"/>
    <cellStyle name="Normal 4 3 3 2 2 2 4" xfId="9395" xr:uid="{B2079B72-9C30-4A49-81C8-17428430F277}"/>
    <cellStyle name="Normal 4 3 3 2 2 2 5" xfId="17843" xr:uid="{8D0E9D9A-869A-4C9B-A0C7-65ECD63CC032}"/>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2 2 2" xfId="16171" xr:uid="{C48B392A-983F-48C4-B05C-BE525E478B88}"/>
    <cellStyle name="Normal 4 3 3 2 2 3 2 2 3" xfId="24618" xr:uid="{61237290-22DB-4154-B367-591C87DFF2BB}"/>
    <cellStyle name="Normal 4 3 3 2 2 3 2 3" xfId="11953" xr:uid="{249990A4-FD71-4B5E-B0DF-FF0597839B3B}"/>
    <cellStyle name="Normal 4 3 3 2 2 3 2 4" xfId="20401" xr:uid="{7459910C-5016-4C8E-B49A-F01942B810C5}"/>
    <cellStyle name="Normal 4 3 3 2 2 3 3" xfId="5576" xr:uid="{00000000-0005-0000-0000-000067140000}"/>
    <cellStyle name="Normal 4 3 3 2 2 3 3 2" xfId="14026" xr:uid="{5C93B618-E590-422E-885C-714CFB5473AC}"/>
    <cellStyle name="Normal 4 3 3 2 2 3 3 3" xfId="22473" xr:uid="{B0F37E3D-9824-4641-9B85-DBB8BFDF015C}"/>
    <cellStyle name="Normal 4 3 3 2 2 3 4" xfId="9808" xr:uid="{F78FC502-50BC-485D-B67B-8C6276FE6910}"/>
    <cellStyle name="Normal 4 3 3 2 2 3 5" xfId="18256" xr:uid="{3EBC8DDF-290D-4001-87C1-29B6C25BBBDC}"/>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2 2 2" xfId="16584" xr:uid="{8D3B398A-05F7-4134-8B9D-3EB49E0B46EF}"/>
    <cellStyle name="Normal 4 3 3 2 2 4 2 2 3" xfId="25031" xr:uid="{E82FE5FD-E361-4579-A851-16F83DD73CE9}"/>
    <cellStyle name="Normal 4 3 3 2 2 4 2 3" xfId="12366" xr:uid="{C7692C05-BC0D-45B8-8CFC-D940DAD61CAB}"/>
    <cellStyle name="Normal 4 3 3 2 2 4 2 4" xfId="20814" xr:uid="{D1845FE9-6931-44D7-BF2A-31DC01263FE8}"/>
    <cellStyle name="Normal 4 3 3 2 2 4 3" xfId="5989" xr:uid="{00000000-0005-0000-0000-00006B140000}"/>
    <cellStyle name="Normal 4 3 3 2 2 4 3 2" xfId="14439" xr:uid="{FC927F08-E7C7-46B4-8F69-A472DAC981F3}"/>
    <cellStyle name="Normal 4 3 3 2 2 4 3 3" xfId="22886" xr:uid="{E61CBD0B-143A-49AE-8D34-3E901CDBAA71}"/>
    <cellStyle name="Normal 4 3 3 2 2 4 4" xfId="10221" xr:uid="{4E26F4EC-FBF9-4764-8B1C-F5CDBAE02A22}"/>
    <cellStyle name="Normal 4 3 3 2 2 4 5" xfId="18669" xr:uid="{F802C512-C01C-4164-BED6-2D5516CCA8EB}"/>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2 2 2" xfId="16997" xr:uid="{2F01183B-238A-4EC6-8DD1-4076E7F976BD}"/>
    <cellStyle name="Normal 4 3 3 2 2 5 2 2 3" xfId="25444" xr:uid="{50890582-791B-4486-AE88-C39B466AA475}"/>
    <cellStyle name="Normal 4 3 3 2 2 5 2 3" xfId="12779" xr:uid="{0D66F5CE-C9DC-4F49-907E-9B2C3C0A8FAD}"/>
    <cellStyle name="Normal 4 3 3 2 2 5 2 4" xfId="21227" xr:uid="{61D75114-7BE7-4D66-8E5F-F007C33C7D39}"/>
    <cellStyle name="Normal 4 3 3 2 2 5 3" xfId="6402" xr:uid="{00000000-0005-0000-0000-00006F140000}"/>
    <cellStyle name="Normal 4 3 3 2 2 5 3 2" xfId="14852" xr:uid="{B03781A3-5882-4845-8099-073A45527A59}"/>
    <cellStyle name="Normal 4 3 3 2 2 5 3 3" xfId="23299" xr:uid="{8D4C6B65-B5F3-49E8-8CE4-A8F2EADF3521}"/>
    <cellStyle name="Normal 4 3 3 2 2 5 4" xfId="10634" xr:uid="{51484537-3479-413D-8719-E16F53905DB1}"/>
    <cellStyle name="Normal 4 3 3 2 2 5 5" xfId="19082" xr:uid="{8CB9D5C3-BC14-45DB-A65A-602E39F5E6E4}"/>
    <cellStyle name="Normal 4 3 3 2 2 6" xfId="2532" xr:uid="{00000000-0005-0000-0000-000070140000}"/>
    <cellStyle name="Normal 4 3 3 2 2 6 2" xfId="6815" xr:uid="{00000000-0005-0000-0000-000071140000}"/>
    <cellStyle name="Normal 4 3 3 2 2 6 2 2" xfId="15265" xr:uid="{4AA31CE2-5C1C-4620-9E2A-E6666E1C5BD4}"/>
    <cellStyle name="Normal 4 3 3 2 2 6 2 3" xfId="23712" xr:uid="{A22EE2E2-1C13-4E04-BB59-61B2310047A1}"/>
    <cellStyle name="Normal 4 3 3 2 2 6 3" xfId="11047" xr:uid="{DC9E7564-889A-49F6-831E-A96260748002}"/>
    <cellStyle name="Normal 4 3 3 2 2 6 4" xfId="19495" xr:uid="{B0F3114D-3FCF-49EA-91D5-6D6944D1D0BA}"/>
    <cellStyle name="Normal 4 3 3 2 2 7" xfId="4750" xr:uid="{00000000-0005-0000-0000-000072140000}"/>
    <cellStyle name="Normal 4 3 3 2 2 7 2" xfId="13200" xr:uid="{93A8EF95-FA3E-4021-8772-6AC3855A43CD}"/>
    <cellStyle name="Normal 4 3 3 2 2 7 3" xfId="21647" xr:uid="{C693B118-77D4-41EA-B9D1-8644D69355D2}"/>
    <cellStyle name="Normal 4 3 3 2 2 8" xfId="8982" xr:uid="{4592B858-4963-4394-B552-7EC85CD7EDDE}"/>
    <cellStyle name="Normal 4 3 3 2 2 9" xfId="17430" xr:uid="{B6BF8EE2-E85C-4B84-A5FC-9078BAD3B012}"/>
    <cellStyle name="Normal 4 3 3 2 3" xfId="850" xr:uid="{00000000-0005-0000-0000-000073140000}"/>
    <cellStyle name="Normal 4 3 3 2 3 2" xfId="3085" xr:uid="{00000000-0005-0000-0000-000074140000}"/>
    <cellStyle name="Normal 4 3 3 2 3 2 2" xfId="7307" xr:uid="{00000000-0005-0000-0000-000075140000}"/>
    <cellStyle name="Normal 4 3 3 2 3 2 2 2" xfId="15757" xr:uid="{2AF45D18-D561-4B4D-8A69-3C48903000D6}"/>
    <cellStyle name="Normal 4 3 3 2 3 2 2 3" xfId="24204" xr:uid="{1B7506F7-72B4-4021-999D-EAEA983239A2}"/>
    <cellStyle name="Normal 4 3 3 2 3 2 3" xfId="11539" xr:uid="{34C4F049-183D-419A-A643-CA85CE60ECCA}"/>
    <cellStyle name="Normal 4 3 3 2 3 2 4" xfId="19987" xr:uid="{470DECE2-1F84-424C-8927-E25A80B62BAA}"/>
    <cellStyle name="Normal 4 3 3 2 3 3" xfId="5162" xr:uid="{00000000-0005-0000-0000-000076140000}"/>
    <cellStyle name="Normal 4 3 3 2 3 3 2" xfId="13612" xr:uid="{7CD439DB-659F-49AD-90B9-C05D5ED4970F}"/>
    <cellStyle name="Normal 4 3 3 2 3 3 3" xfId="22059" xr:uid="{7E9B2ABE-7FD8-49D4-8FF8-178D11A5B3A2}"/>
    <cellStyle name="Normal 4 3 3 2 3 4" xfId="9394" xr:uid="{05AF9C2D-664F-4AAE-9001-F139C06D97B1}"/>
    <cellStyle name="Normal 4 3 3 2 3 5" xfId="17842" xr:uid="{7E703853-14F0-4764-89CD-C46CFD4AA3F5}"/>
    <cellStyle name="Normal 4 3 3 2 4" xfId="1268" xr:uid="{00000000-0005-0000-0000-000077140000}"/>
    <cellStyle name="Normal 4 3 3 2 4 2" xfId="3498" xr:uid="{00000000-0005-0000-0000-000078140000}"/>
    <cellStyle name="Normal 4 3 3 2 4 2 2" xfId="7720" xr:uid="{00000000-0005-0000-0000-000079140000}"/>
    <cellStyle name="Normal 4 3 3 2 4 2 2 2" xfId="16170" xr:uid="{3636D4A2-C786-43A0-A483-3775653B67FC}"/>
    <cellStyle name="Normal 4 3 3 2 4 2 2 3" xfId="24617" xr:uid="{2DCA394B-7540-4C19-AA6F-5F87809273A2}"/>
    <cellStyle name="Normal 4 3 3 2 4 2 3" xfId="11952" xr:uid="{E358D4F0-5421-47CF-9A39-80E9C34D9E5F}"/>
    <cellStyle name="Normal 4 3 3 2 4 2 4" xfId="20400" xr:uid="{0F8CDC6F-E4A0-4ABD-9778-707A12A76469}"/>
    <cellStyle name="Normal 4 3 3 2 4 3" xfId="5575" xr:uid="{00000000-0005-0000-0000-00007A140000}"/>
    <cellStyle name="Normal 4 3 3 2 4 3 2" xfId="14025" xr:uid="{9BE436C6-A0B0-4D11-9FDA-2EC828764854}"/>
    <cellStyle name="Normal 4 3 3 2 4 3 3" xfId="22472" xr:uid="{300ABAC8-57B6-4D74-B5AB-88A6B31C308C}"/>
    <cellStyle name="Normal 4 3 3 2 4 4" xfId="9807" xr:uid="{FE082402-BE44-4D8A-B73F-06975D515842}"/>
    <cellStyle name="Normal 4 3 3 2 4 5" xfId="18255" xr:uid="{8867C53F-F892-4FFE-B0F5-F20810E57B6C}"/>
    <cellStyle name="Normal 4 3 3 2 5" xfId="1681" xr:uid="{00000000-0005-0000-0000-00007B140000}"/>
    <cellStyle name="Normal 4 3 3 2 5 2" xfId="3911" xr:uid="{00000000-0005-0000-0000-00007C140000}"/>
    <cellStyle name="Normal 4 3 3 2 5 2 2" xfId="8133" xr:uid="{00000000-0005-0000-0000-00007D140000}"/>
    <cellStyle name="Normal 4 3 3 2 5 2 2 2" xfId="16583" xr:uid="{43B46D62-E17D-4413-857C-DC970964935F}"/>
    <cellStyle name="Normal 4 3 3 2 5 2 2 3" xfId="25030" xr:uid="{2B42D6AA-E16D-4B4E-826B-E7FDEAD52DC3}"/>
    <cellStyle name="Normal 4 3 3 2 5 2 3" xfId="12365" xr:uid="{19BE8D0B-0A86-4E7E-8CB7-CB42F8027A22}"/>
    <cellStyle name="Normal 4 3 3 2 5 2 4" xfId="20813" xr:uid="{F0233D4D-077E-4A67-A082-8F3B17A44E50}"/>
    <cellStyle name="Normal 4 3 3 2 5 3" xfId="5988" xr:uid="{00000000-0005-0000-0000-00007E140000}"/>
    <cellStyle name="Normal 4 3 3 2 5 3 2" xfId="14438" xr:uid="{78F00EAA-4B13-49B5-9138-62F257B694DD}"/>
    <cellStyle name="Normal 4 3 3 2 5 3 3" xfId="22885" xr:uid="{E97598CE-B9F8-4CBC-8450-4351781DF6C4}"/>
    <cellStyle name="Normal 4 3 3 2 5 4" xfId="10220" xr:uid="{66B7F1D9-FD1E-4715-B1ED-B99468791A60}"/>
    <cellStyle name="Normal 4 3 3 2 5 5" xfId="18668" xr:uid="{8CC662F8-AF73-4844-83CC-FB58FD0D19B7}"/>
    <cellStyle name="Normal 4 3 3 2 6" xfId="2095" xr:uid="{00000000-0005-0000-0000-00007F140000}"/>
    <cellStyle name="Normal 4 3 3 2 6 2" xfId="4324" xr:uid="{00000000-0005-0000-0000-000080140000}"/>
    <cellStyle name="Normal 4 3 3 2 6 2 2" xfId="8546" xr:uid="{00000000-0005-0000-0000-000081140000}"/>
    <cellStyle name="Normal 4 3 3 2 6 2 2 2" xfId="16996" xr:uid="{0693A68B-A97F-4C60-AF78-BE264B2B4E1D}"/>
    <cellStyle name="Normal 4 3 3 2 6 2 2 3" xfId="25443" xr:uid="{62A814ED-8F01-4E37-9471-D09F5F01DE54}"/>
    <cellStyle name="Normal 4 3 3 2 6 2 3" xfId="12778" xr:uid="{EC79486E-BF47-41BF-BA41-231B43E9A0A9}"/>
    <cellStyle name="Normal 4 3 3 2 6 2 4" xfId="21226" xr:uid="{1D336938-49DE-4252-A390-680EC2D4F6EE}"/>
    <cellStyle name="Normal 4 3 3 2 6 3" xfId="6401" xr:uid="{00000000-0005-0000-0000-000082140000}"/>
    <cellStyle name="Normal 4 3 3 2 6 3 2" xfId="14851" xr:uid="{E3DBE3EA-7004-4DAA-9803-3BACEACBFF85}"/>
    <cellStyle name="Normal 4 3 3 2 6 3 3" xfId="23298" xr:uid="{B2B76AF8-D285-4C5A-93C6-4704C2DD1F42}"/>
    <cellStyle name="Normal 4 3 3 2 6 4" xfId="10633" xr:uid="{364D3EB8-656A-4DB7-93FE-65F1F11C1834}"/>
    <cellStyle name="Normal 4 3 3 2 6 5" xfId="19081" xr:uid="{B2A3B6F6-77C3-40FF-8D84-2878B99123DE}"/>
    <cellStyle name="Normal 4 3 3 2 7" xfId="2531" xr:uid="{00000000-0005-0000-0000-000083140000}"/>
    <cellStyle name="Normal 4 3 3 2 7 2" xfId="6814" xr:uid="{00000000-0005-0000-0000-000084140000}"/>
    <cellStyle name="Normal 4 3 3 2 7 2 2" xfId="15264" xr:uid="{8EAF235E-144C-4202-9588-EBC1D46E0AB7}"/>
    <cellStyle name="Normal 4 3 3 2 7 2 3" xfId="23711" xr:uid="{3FD60C4A-9D7A-40C5-A0AA-F70DBD49F9DA}"/>
    <cellStyle name="Normal 4 3 3 2 7 3" xfId="11046" xr:uid="{84340477-49F5-4487-8D59-80D863ED8397}"/>
    <cellStyle name="Normal 4 3 3 2 7 4" xfId="19494" xr:uid="{D72FE922-36C3-44EF-9F78-E01A26528666}"/>
    <cellStyle name="Normal 4 3 3 2 8" xfId="4749" xr:uid="{00000000-0005-0000-0000-000085140000}"/>
    <cellStyle name="Normal 4 3 3 2 8 2" xfId="13199" xr:uid="{9F4AD9E6-C91E-499A-AD9C-77B9E3055716}"/>
    <cellStyle name="Normal 4 3 3 2 8 3" xfId="21646" xr:uid="{34696A36-C298-46EB-8702-D7D80E9E7D30}"/>
    <cellStyle name="Normal 4 3 3 2 9" xfId="8981" xr:uid="{6A463537-67C9-4254-8423-ED4D22F6A0F7}"/>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2 2 2" xfId="15759" xr:uid="{9976D98B-A4CB-4000-8B5E-80F595D01012}"/>
    <cellStyle name="Normal 4 3 3 3 2 2 2 3" xfId="24206" xr:uid="{E1F3541E-D50A-47CD-A7E5-4A8FAAE33E21}"/>
    <cellStyle name="Normal 4 3 3 3 2 2 3" xfId="11541" xr:uid="{84122AC1-1F97-4741-92A5-D1A3F2AD6A90}"/>
    <cellStyle name="Normal 4 3 3 3 2 2 4" xfId="19989" xr:uid="{C82D9D9A-D702-4005-A502-DB6D87CEDAA1}"/>
    <cellStyle name="Normal 4 3 3 3 2 3" xfId="5164" xr:uid="{00000000-0005-0000-0000-00008A140000}"/>
    <cellStyle name="Normal 4 3 3 3 2 3 2" xfId="13614" xr:uid="{B270551A-FBA4-4452-AE69-3EB4D9C0A153}"/>
    <cellStyle name="Normal 4 3 3 3 2 3 3" xfId="22061" xr:uid="{9517A42F-CE24-4C4A-8077-29687EB9BC70}"/>
    <cellStyle name="Normal 4 3 3 3 2 4" xfId="9396" xr:uid="{2C673DE9-58B1-4EBB-A52E-E71A24BF7BBF}"/>
    <cellStyle name="Normal 4 3 3 3 2 5" xfId="17844" xr:uid="{7A543CA6-7A5C-44CB-ADAE-F4AE0BBA96B8}"/>
    <cellStyle name="Normal 4 3 3 3 3" xfId="1270" xr:uid="{00000000-0005-0000-0000-00008B140000}"/>
    <cellStyle name="Normal 4 3 3 3 3 2" xfId="3500" xr:uid="{00000000-0005-0000-0000-00008C140000}"/>
    <cellStyle name="Normal 4 3 3 3 3 2 2" xfId="7722" xr:uid="{00000000-0005-0000-0000-00008D140000}"/>
    <cellStyle name="Normal 4 3 3 3 3 2 2 2" xfId="16172" xr:uid="{8BF25310-4A8F-4729-A8B3-CD11314AC5DA}"/>
    <cellStyle name="Normal 4 3 3 3 3 2 2 3" xfId="24619" xr:uid="{6C022A6C-B467-42FC-AA86-75E712D74F64}"/>
    <cellStyle name="Normal 4 3 3 3 3 2 3" xfId="11954" xr:uid="{C72DDF4F-19E0-4479-A438-CAA975C54041}"/>
    <cellStyle name="Normal 4 3 3 3 3 2 4" xfId="20402" xr:uid="{9BF8156D-5D9A-4BF8-BAEA-D4DBFDA8C2DE}"/>
    <cellStyle name="Normal 4 3 3 3 3 3" xfId="5577" xr:uid="{00000000-0005-0000-0000-00008E140000}"/>
    <cellStyle name="Normal 4 3 3 3 3 3 2" xfId="14027" xr:uid="{F9FF174E-F572-4381-9D34-C32FD2621101}"/>
    <cellStyle name="Normal 4 3 3 3 3 3 3" xfId="22474" xr:uid="{C0AF0844-A64C-40DE-9A46-32B9D2EABD45}"/>
    <cellStyle name="Normal 4 3 3 3 3 4" xfId="9809" xr:uid="{C2AF77AD-A7DA-4B12-923D-287E7BEB34B6}"/>
    <cellStyle name="Normal 4 3 3 3 3 5" xfId="18257" xr:uid="{DD1E1C49-3DB4-4665-9B3E-8F7CBBBFCE9E}"/>
    <cellStyle name="Normal 4 3 3 3 4" xfId="1683" xr:uid="{00000000-0005-0000-0000-00008F140000}"/>
    <cellStyle name="Normal 4 3 3 3 4 2" xfId="3913" xr:uid="{00000000-0005-0000-0000-000090140000}"/>
    <cellStyle name="Normal 4 3 3 3 4 2 2" xfId="8135" xr:uid="{00000000-0005-0000-0000-000091140000}"/>
    <cellStyle name="Normal 4 3 3 3 4 2 2 2" xfId="16585" xr:uid="{7CF17708-8F9F-422C-BB4D-05DB906CAFC9}"/>
    <cellStyle name="Normal 4 3 3 3 4 2 2 3" xfId="25032" xr:uid="{525B1A14-6B64-4289-B9BE-C51139D09DB1}"/>
    <cellStyle name="Normal 4 3 3 3 4 2 3" xfId="12367" xr:uid="{0647540C-DF67-43D8-9727-14A088BBF19E}"/>
    <cellStyle name="Normal 4 3 3 3 4 2 4" xfId="20815" xr:uid="{70BC9033-BA48-4A46-A98C-FDA667D715EF}"/>
    <cellStyle name="Normal 4 3 3 3 4 3" xfId="5990" xr:uid="{00000000-0005-0000-0000-000092140000}"/>
    <cellStyle name="Normal 4 3 3 3 4 3 2" xfId="14440" xr:uid="{A59DFCEF-ED09-43F2-A832-418F12646427}"/>
    <cellStyle name="Normal 4 3 3 3 4 3 3" xfId="22887" xr:uid="{11791187-CC5A-4109-85D2-2E873A5E630E}"/>
    <cellStyle name="Normal 4 3 3 3 4 4" xfId="10222" xr:uid="{DC447FA2-D2ED-4850-AF0D-C91EA8042FD0}"/>
    <cellStyle name="Normal 4 3 3 3 4 5" xfId="18670" xr:uid="{772F360C-EEB4-4A7F-BDE5-8F884CD231C0}"/>
    <cellStyle name="Normal 4 3 3 3 5" xfId="2097" xr:uid="{00000000-0005-0000-0000-000093140000}"/>
    <cellStyle name="Normal 4 3 3 3 5 2" xfId="4326" xr:uid="{00000000-0005-0000-0000-000094140000}"/>
    <cellStyle name="Normal 4 3 3 3 5 2 2" xfId="8548" xr:uid="{00000000-0005-0000-0000-000095140000}"/>
    <cellStyle name="Normal 4 3 3 3 5 2 2 2" xfId="16998" xr:uid="{DFE4E6B8-A801-4216-9BED-14949F685038}"/>
    <cellStyle name="Normal 4 3 3 3 5 2 2 3" xfId="25445" xr:uid="{A5112E7C-67C0-4EAC-A1DA-CF4B2F19104B}"/>
    <cellStyle name="Normal 4 3 3 3 5 2 3" xfId="12780" xr:uid="{8A02D312-D3B3-473A-9B32-5EF21F66342B}"/>
    <cellStyle name="Normal 4 3 3 3 5 2 4" xfId="21228" xr:uid="{F19092A3-B1FA-4189-AAFF-62BEA805ED59}"/>
    <cellStyle name="Normal 4 3 3 3 5 3" xfId="6403" xr:uid="{00000000-0005-0000-0000-000096140000}"/>
    <cellStyle name="Normal 4 3 3 3 5 3 2" xfId="14853" xr:uid="{54151E3B-68E0-44EF-957D-F4AF1DC43710}"/>
    <cellStyle name="Normal 4 3 3 3 5 3 3" xfId="23300" xr:uid="{FA8FE943-8D48-4E72-AC48-74C543ECF4C4}"/>
    <cellStyle name="Normal 4 3 3 3 5 4" xfId="10635" xr:uid="{155DD0DA-AC00-4F5D-BAEA-D1E1BDEC97FF}"/>
    <cellStyle name="Normal 4 3 3 3 5 5" xfId="19083" xr:uid="{AE8A38C5-88EF-499A-B09E-0CEFB3296801}"/>
    <cellStyle name="Normal 4 3 3 3 6" xfId="2533" xr:uid="{00000000-0005-0000-0000-000097140000}"/>
    <cellStyle name="Normal 4 3 3 3 6 2" xfId="6816" xr:uid="{00000000-0005-0000-0000-000098140000}"/>
    <cellStyle name="Normal 4 3 3 3 6 2 2" xfId="15266" xr:uid="{A512C823-1BA1-4F29-9F56-3B4F258AE2BF}"/>
    <cellStyle name="Normal 4 3 3 3 6 2 3" xfId="23713" xr:uid="{A502B53F-5F74-4FC6-8E0F-1B0E570DC987}"/>
    <cellStyle name="Normal 4 3 3 3 6 3" xfId="11048" xr:uid="{CBAF2B9C-E988-456A-BAF0-DF1965D99F8A}"/>
    <cellStyle name="Normal 4 3 3 3 6 4" xfId="19496" xr:uid="{720AEDD6-ECDC-4818-BD12-AF454A56CA3A}"/>
    <cellStyle name="Normal 4 3 3 3 7" xfId="4751" xr:uid="{00000000-0005-0000-0000-000099140000}"/>
    <cellStyle name="Normal 4 3 3 3 7 2" xfId="13201" xr:uid="{69D7CE67-EA2F-4278-9A8B-38D91CCBFC03}"/>
    <cellStyle name="Normal 4 3 3 3 7 3" xfId="21648" xr:uid="{49A97E20-AFB2-4DFB-9CA0-E526654C2812}"/>
    <cellStyle name="Normal 4 3 3 3 8" xfId="8983" xr:uid="{B0987176-DCF0-4D21-ADC6-D63FB4694AB1}"/>
    <cellStyle name="Normal 4 3 3 3 9" xfId="17431" xr:uid="{5C20E3B9-0029-4431-B1F0-04AAD07C1B86}"/>
    <cellStyle name="Normal 4 3 3 4" xfId="849" xr:uid="{00000000-0005-0000-0000-00009A140000}"/>
    <cellStyle name="Normal 4 3 3 4 2" xfId="3084" xr:uid="{00000000-0005-0000-0000-00009B140000}"/>
    <cellStyle name="Normal 4 3 3 4 2 2" xfId="7306" xr:uid="{00000000-0005-0000-0000-00009C140000}"/>
    <cellStyle name="Normal 4 3 3 4 2 2 2" xfId="15756" xr:uid="{08B2310C-EACF-4CE2-A8F3-BEEE36EBF0DE}"/>
    <cellStyle name="Normal 4 3 3 4 2 2 3" xfId="24203" xr:uid="{25590FF3-4EB0-443D-984E-B011C1CD73FD}"/>
    <cellStyle name="Normal 4 3 3 4 2 3" xfId="11538" xr:uid="{22CA12D0-3BEB-4F09-8323-09244DC486A8}"/>
    <cellStyle name="Normal 4 3 3 4 2 4" xfId="19986" xr:uid="{6DD8B68B-5E8D-46FA-BA89-48BF0D9A9A3C}"/>
    <cellStyle name="Normal 4 3 3 4 3" xfId="5161" xr:uid="{00000000-0005-0000-0000-00009D140000}"/>
    <cellStyle name="Normal 4 3 3 4 3 2" xfId="13611" xr:uid="{BC7DF84B-72B6-4D0F-BDF6-85A5F1CE1B7F}"/>
    <cellStyle name="Normal 4 3 3 4 3 3" xfId="22058" xr:uid="{2EECC8CD-6C5F-486D-ACB9-0682A6777FFC}"/>
    <cellStyle name="Normal 4 3 3 4 4" xfId="9393" xr:uid="{56F1E4D2-1448-4076-9D28-76E208614D48}"/>
    <cellStyle name="Normal 4 3 3 4 5" xfId="17841" xr:uid="{55EC579C-F1E5-4F7D-AFFA-865EEB580D39}"/>
    <cellStyle name="Normal 4 3 3 5" xfId="1267" xr:uid="{00000000-0005-0000-0000-00009E140000}"/>
    <cellStyle name="Normal 4 3 3 5 2" xfId="3497" xr:uid="{00000000-0005-0000-0000-00009F140000}"/>
    <cellStyle name="Normal 4 3 3 5 2 2" xfId="7719" xr:uid="{00000000-0005-0000-0000-0000A0140000}"/>
    <cellStyle name="Normal 4 3 3 5 2 2 2" xfId="16169" xr:uid="{BA9F9E02-DDF4-4B45-BE6A-3C1B22631B7F}"/>
    <cellStyle name="Normal 4 3 3 5 2 2 3" xfId="24616" xr:uid="{96DF9D4B-2F73-46F3-944F-19B0E7584BD0}"/>
    <cellStyle name="Normal 4 3 3 5 2 3" xfId="11951" xr:uid="{2456CCF0-577D-4FBC-A95A-78BF33A1D73F}"/>
    <cellStyle name="Normal 4 3 3 5 2 4" xfId="20399" xr:uid="{291D340A-3A12-4FA3-B1A1-45922ADE804E}"/>
    <cellStyle name="Normal 4 3 3 5 3" xfId="5574" xr:uid="{00000000-0005-0000-0000-0000A1140000}"/>
    <cellStyle name="Normal 4 3 3 5 3 2" xfId="14024" xr:uid="{0BC61C6A-3DF6-44E2-9BC3-6DFFB38AA17A}"/>
    <cellStyle name="Normal 4 3 3 5 3 3" xfId="22471" xr:uid="{297CAB1D-8A02-4BAD-A254-C243E820F86A}"/>
    <cellStyle name="Normal 4 3 3 5 4" xfId="9806" xr:uid="{1C3D5095-5315-43AA-98AA-E03230BE44A7}"/>
    <cellStyle name="Normal 4 3 3 5 5" xfId="18254" xr:uid="{B8574FF2-0CDF-4C9B-B0FC-47B3026347EA}"/>
    <cellStyle name="Normal 4 3 3 6" xfId="1680" xr:uid="{00000000-0005-0000-0000-0000A2140000}"/>
    <cellStyle name="Normal 4 3 3 6 2" xfId="3910" xr:uid="{00000000-0005-0000-0000-0000A3140000}"/>
    <cellStyle name="Normal 4 3 3 6 2 2" xfId="8132" xr:uid="{00000000-0005-0000-0000-0000A4140000}"/>
    <cellStyle name="Normal 4 3 3 6 2 2 2" xfId="16582" xr:uid="{FC365091-40C6-4632-99BD-BA164F159766}"/>
    <cellStyle name="Normal 4 3 3 6 2 2 3" xfId="25029" xr:uid="{D2318C6F-FD0C-47C8-AA82-916F1ACE43DA}"/>
    <cellStyle name="Normal 4 3 3 6 2 3" xfId="12364" xr:uid="{2469E6C9-28E1-4E9A-96C3-FDEA5F0F655D}"/>
    <cellStyle name="Normal 4 3 3 6 2 4" xfId="20812" xr:uid="{C3F7A110-9B56-457B-A9A0-E3585307A966}"/>
    <cellStyle name="Normal 4 3 3 6 3" xfId="5987" xr:uid="{00000000-0005-0000-0000-0000A5140000}"/>
    <cellStyle name="Normal 4 3 3 6 3 2" xfId="14437" xr:uid="{211F3717-EAB1-48DD-B35D-B931573B223F}"/>
    <cellStyle name="Normal 4 3 3 6 3 3" xfId="22884" xr:uid="{DE73F4BC-3796-4AD1-90C8-755DDC45CDFE}"/>
    <cellStyle name="Normal 4 3 3 6 4" xfId="10219" xr:uid="{7802DB53-1905-4976-8987-C0E973D40B56}"/>
    <cellStyle name="Normal 4 3 3 6 5" xfId="18667" xr:uid="{184CFF5D-1522-4E3A-A224-43FEF7EAC0B9}"/>
    <cellStyle name="Normal 4 3 3 7" xfId="2094" xr:uid="{00000000-0005-0000-0000-0000A6140000}"/>
    <cellStyle name="Normal 4 3 3 7 2" xfId="4323" xr:uid="{00000000-0005-0000-0000-0000A7140000}"/>
    <cellStyle name="Normal 4 3 3 7 2 2" xfId="8545" xr:uid="{00000000-0005-0000-0000-0000A8140000}"/>
    <cellStyle name="Normal 4 3 3 7 2 2 2" xfId="16995" xr:uid="{F85DA01B-1FE3-4D4F-B348-848BD6AEB93E}"/>
    <cellStyle name="Normal 4 3 3 7 2 2 3" xfId="25442" xr:uid="{3FA65671-3052-413B-B226-B01D9E6DB139}"/>
    <cellStyle name="Normal 4 3 3 7 2 3" xfId="12777" xr:uid="{5BB096E7-0AF8-4119-9EE8-8226B5AC33BB}"/>
    <cellStyle name="Normal 4 3 3 7 2 4" xfId="21225" xr:uid="{DF7D467A-C6A7-4BAC-B576-33D7DEB40BD1}"/>
    <cellStyle name="Normal 4 3 3 7 3" xfId="6400" xr:uid="{00000000-0005-0000-0000-0000A9140000}"/>
    <cellStyle name="Normal 4 3 3 7 3 2" xfId="14850" xr:uid="{BA2CAD80-4E7F-4E23-B8E8-CD100C95CE38}"/>
    <cellStyle name="Normal 4 3 3 7 3 3" xfId="23297" xr:uid="{06384921-4E44-45C0-BF17-E9F3F6CC82DB}"/>
    <cellStyle name="Normal 4 3 3 7 4" xfId="10632" xr:uid="{E1846CF4-73A1-4807-AE3C-F3E593DC2A64}"/>
    <cellStyle name="Normal 4 3 3 7 5" xfId="19080" xr:uid="{08084107-77F0-408F-8996-7EA6659D63E9}"/>
    <cellStyle name="Normal 4 3 3 8" xfId="2530" xr:uid="{00000000-0005-0000-0000-0000AA140000}"/>
    <cellStyle name="Normal 4 3 3 8 2" xfId="6813" xr:uid="{00000000-0005-0000-0000-0000AB140000}"/>
    <cellStyle name="Normal 4 3 3 8 2 2" xfId="15263" xr:uid="{8E6184FF-F9DB-4567-AD33-1E5B1B8AF0B9}"/>
    <cellStyle name="Normal 4 3 3 8 2 3" xfId="23710" xr:uid="{A31EF7AE-E53D-4EA8-820F-475BE9EB8144}"/>
    <cellStyle name="Normal 4 3 3 8 3" xfId="11045" xr:uid="{EA7ED0C3-220E-45B8-9528-35DD03FCAF9B}"/>
    <cellStyle name="Normal 4 3 3 8 4" xfId="19493" xr:uid="{755113D2-8982-44D4-B96D-463492B8D1C5}"/>
    <cellStyle name="Normal 4 3 3 9" xfId="4748" xr:uid="{00000000-0005-0000-0000-0000AC140000}"/>
    <cellStyle name="Normal 4 3 3 9 2" xfId="13198" xr:uid="{B882E77A-B399-4A73-94F2-A073FF6DC9B0}"/>
    <cellStyle name="Normal 4 3 3 9 3" xfId="21645" xr:uid="{EF45EBCA-1E35-47A6-8EEC-072265D073E9}"/>
    <cellStyle name="Normal 4 3 4" xfId="842" xr:uid="{00000000-0005-0000-0000-0000AD140000}"/>
    <cellStyle name="Normal 4 3 4 2" xfId="3079" xr:uid="{00000000-0005-0000-0000-0000AE140000}"/>
    <cellStyle name="Normal 4 3 4 2 2" xfId="7301" xr:uid="{00000000-0005-0000-0000-0000AF140000}"/>
    <cellStyle name="Normal 4 3 4 2 2 2" xfId="15751" xr:uid="{109C7A17-AD77-4A8C-996F-69F6D9F4A7B7}"/>
    <cellStyle name="Normal 4 3 4 2 2 3" xfId="24198" xr:uid="{FE5E8BF5-A258-4ECB-9D04-09B895C38972}"/>
    <cellStyle name="Normal 4 3 4 2 3" xfId="11533" xr:uid="{22557182-0C49-4B97-825F-80A547D4AF81}"/>
    <cellStyle name="Normal 4 3 4 2 4" xfId="19981" xr:uid="{F855C12A-964D-4C6F-BA9A-23C8A5F5D4C5}"/>
    <cellStyle name="Normal 4 3 4 3" xfId="5156" xr:uid="{00000000-0005-0000-0000-0000B0140000}"/>
    <cellStyle name="Normal 4 3 4 3 2" xfId="13606" xr:uid="{D8FC8EFE-DBF2-4C47-A0DE-082725D4F0B0}"/>
    <cellStyle name="Normal 4 3 4 3 3" xfId="22053" xr:uid="{B615DD40-DEAF-4DB7-BD91-18BB6C40703D}"/>
    <cellStyle name="Normal 4 3 4 4" xfId="9388" xr:uid="{572676B7-9A51-4B5F-8F3D-3100BC9914A8}"/>
    <cellStyle name="Normal 4 3 4 5" xfId="17836" xr:uid="{F2B670B9-CB8A-4D2F-B1D2-1CB78EDA3AD1}"/>
    <cellStyle name="Normal 4 3 5" xfId="1262" xr:uid="{00000000-0005-0000-0000-0000B1140000}"/>
    <cellStyle name="Normal 4 3 5 2" xfId="3492" xr:uid="{00000000-0005-0000-0000-0000B2140000}"/>
    <cellStyle name="Normal 4 3 5 2 2" xfId="7714" xr:uid="{00000000-0005-0000-0000-0000B3140000}"/>
    <cellStyle name="Normal 4 3 5 2 2 2" xfId="16164" xr:uid="{F060EE42-44CF-4DA0-87D8-16E9DE1ACE20}"/>
    <cellStyle name="Normal 4 3 5 2 2 3" xfId="24611" xr:uid="{F867E9C2-5B06-4BE3-9B15-B48E43DD9836}"/>
    <cellStyle name="Normal 4 3 5 2 3" xfId="11946" xr:uid="{B58D0E1B-9BF6-45F6-82F8-EBF4CCEE979F}"/>
    <cellStyle name="Normal 4 3 5 2 4" xfId="20394" xr:uid="{AE75DDDA-4E6F-4C94-BBA2-97D7AC325B00}"/>
    <cellStyle name="Normal 4 3 5 3" xfId="5569" xr:uid="{00000000-0005-0000-0000-0000B4140000}"/>
    <cellStyle name="Normal 4 3 5 3 2" xfId="14019" xr:uid="{DB1297B6-53BA-4ADA-8D18-0286FCB041B0}"/>
    <cellStyle name="Normal 4 3 5 3 3" xfId="22466" xr:uid="{2C8B5179-A357-4A2E-BACC-C6F56EAB8E54}"/>
    <cellStyle name="Normal 4 3 5 4" xfId="9801" xr:uid="{709882B9-A287-4D6F-9EFB-1E71818B591A}"/>
    <cellStyle name="Normal 4 3 5 5" xfId="18249" xr:uid="{65DDFFF2-1636-4C19-BE57-3A8BF923A2D8}"/>
    <cellStyle name="Normal 4 3 6" xfId="1675" xr:uid="{00000000-0005-0000-0000-0000B5140000}"/>
    <cellStyle name="Normal 4 3 6 2" xfId="3905" xr:uid="{00000000-0005-0000-0000-0000B6140000}"/>
    <cellStyle name="Normal 4 3 6 2 2" xfId="8127" xr:uid="{00000000-0005-0000-0000-0000B7140000}"/>
    <cellStyle name="Normal 4 3 6 2 2 2" xfId="16577" xr:uid="{50D95684-203F-4102-82F7-56EE76490419}"/>
    <cellStyle name="Normal 4 3 6 2 2 3" xfId="25024" xr:uid="{7125436B-E5EE-4538-9AA5-37F88A7816E7}"/>
    <cellStyle name="Normal 4 3 6 2 3" xfId="12359" xr:uid="{55A74367-8D31-414A-9B06-DA819F8FEA08}"/>
    <cellStyle name="Normal 4 3 6 2 4" xfId="20807" xr:uid="{A3983B64-DE97-4D57-ADE9-B228ECCD3C10}"/>
    <cellStyle name="Normal 4 3 6 3" xfId="5982" xr:uid="{00000000-0005-0000-0000-0000B8140000}"/>
    <cellStyle name="Normal 4 3 6 3 2" xfId="14432" xr:uid="{0F8B707C-2D01-4C84-8B67-1570530B9A6B}"/>
    <cellStyle name="Normal 4 3 6 3 3" xfId="22879" xr:uid="{88115A82-362C-4D5E-85CF-A18788FFA342}"/>
    <cellStyle name="Normal 4 3 6 4" xfId="10214" xr:uid="{44B39DBB-58F6-4E8E-8873-2DE9F8FDC02D}"/>
    <cellStyle name="Normal 4 3 6 5" xfId="18662" xr:uid="{642D0AD0-55CC-4E07-B09E-B812AA3B29A9}"/>
    <cellStyle name="Normal 4 3 7" xfId="2089" xr:uid="{00000000-0005-0000-0000-0000B9140000}"/>
    <cellStyle name="Normal 4 3 7 2" xfId="4318" xr:uid="{00000000-0005-0000-0000-0000BA140000}"/>
    <cellStyle name="Normal 4 3 7 2 2" xfId="8540" xr:uid="{00000000-0005-0000-0000-0000BB140000}"/>
    <cellStyle name="Normal 4 3 7 2 2 2" xfId="16990" xr:uid="{AAA4A69B-2FCE-43DC-B859-6233108A3B98}"/>
    <cellStyle name="Normal 4 3 7 2 2 3" xfId="25437" xr:uid="{13341AF8-B3F5-4572-BDBD-C5E7A86A4764}"/>
    <cellStyle name="Normal 4 3 7 2 3" xfId="12772" xr:uid="{0C7594AA-8DF9-4644-B38D-989B4F541771}"/>
    <cellStyle name="Normal 4 3 7 2 4" xfId="21220" xr:uid="{3984016C-9025-47B3-B896-2D0821966AE0}"/>
    <cellStyle name="Normal 4 3 7 3" xfId="6395" xr:uid="{00000000-0005-0000-0000-0000BC140000}"/>
    <cellStyle name="Normal 4 3 7 3 2" xfId="14845" xr:uid="{940916E6-EA51-4921-8253-AB3F8E965792}"/>
    <cellStyle name="Normal 4 3 7 3 3" xfId="23292" xr:uid="{E6C2D3D7-886F-4E23-A08B-ECFBD96E2EB8}"/>
    <cellStyle name="Normal 4 3 7 4" xfId="10627" xr:uid="{93E599FA-C299-4D86-9CA0-91A37697D48A}"/>
    <cellStyle name="Normal 4 3 7 5" xfId="19075" xr:uid="{CB93D590-5540-4A2F-9C6E-C8320D5D28EC}"/>
    <cellStyle name="Normal 4 3 8" xfId="2525" xr:uid="{00000000-0005-0000-0000-0000BD140000}"/>
    <cellStyle name="Normal 4 3 8 2" xfId="6808" xr:uid="{00000000-0005-0000-0000-0000BE140000}"/>
    <cellStyle name="Normal 4 3 8 2 2" xfId="15258" xr:uid="{3D32E342-56FE-4A73-AE57-8F226263282C}"/>
    <cellStyle name="Normal 4 3 8 2 3" xfId="23705" xr:uid="{8146B752-2019-4549-9189-152026E1F02D}"/>
    <cellStyle name="Normal 4 3 8 3" xfId="11040" xr:uid="{A99F1BC3-29CE-4B24-8346-F0BA9D31A43B}"/>
    <cellStyle name="Normal 4 3 8 4" xfId="19488" xr:uid="{D69C943E-7F16-4D66-B4C9-D7A230AB8F7C}"/>
    <cellStyle name="Normal 4 3 9" xfId="4743" xr:uid="{00000000-0005-0000-0000-0000BF140000}"/>
    <cellStyle name="Normal 4 3 9 2" xfId="13193" xr:uid="{2B681192-D5F4-4181-A365-D26DD4A26F4E}"/>
    <cellStyle name="Normal 4 3 9 3" xfId="21640" xr:uid="{A9171FF4-0FE2-420A-B84D-B1D4642500CD}"/>
    <cellStyle name="Normal 4 4" xfId="378" xr:uid="{00000000-0005-0000-0000-0000C0140000}"/>
    <cellStyle name="Normal 4 4 10" xfId="2534" xr:uid="{00000000-0005-0000-0000-0000C1140000}"/>
    <cellStyle name="Normal 4 4 10 2" xfId="6817" xr:uid="{00000000-0005-0000-0000-0000C2140000}"/>
    <cellStyle name="Normal 4 4 10 2 2" xfId="15267" xr:uid="{45C52B04-1E5D-46DF-A052-F5F7ADD3E297}"/>
    <cellStyle name="Normal 4 4 10 2 3" xfId="23714" xr:uid="{7C337CCB-D126-46EC-A6B5-F4FE98121383}"/>
    <cellStyle name="Normal 4 4 10 3" xfId="11049" xr:uid="{11336CBE-A8E0-45FC-8692-109F421189AE}"/>
    <cellStyle name="Normal 4 4 10 4" xfId="19497" xr:uid="{93985801-4198-42AF-A103-4E24B842706F}"/>
    <cellStyle name="Normal 4 4 11" xfId="4752" xr:uid="{00000000-0005-0000-0000-0000C3140000}"/>
    <cellStyle name="Normal 4 4 11 2" xfId="13202" xr:uid="{8663CB1B-3D91-43AD-90B8-A93E17BC3EF1}"/>
    <cellStyle name="Normal 4 4 11 3" xfId="21649" xr:uid="{7AE0B366-CFBD-4D30-B04F-12711BAA6E67}"/>
    <cellStyle name="Normal 4 4 12" xfId="8984" xr:uid="{ECE439C0-C7ED-4F96-AA74-3833FBC7BCC1}"/>
    <cellStyle name="Normal 4 4 13" xfId="17432" xr:uid="{578B9BEC-0A29-4D34-857C-1FA3FA4D33C4}"/>
    <cellStyle name="Normal 4 4 2" xfId="379" xr:uid="{00000000-0005-0000-0000-0000C4140000}"/>
    <cellStyle name="Normal 4 4 2 10" xfId="4753" xr:uid="{00000000-0005-0000-0000-0000C5140000}"/>
    <cellStyle name="Normal 4 4 2 10 2" xfId="13203" xr:uid="{A2AC86EF-3FC1-4569-B876-1AC479E4C499}"/>
    <cellStyle name="Normal 4 4 2 10 3" xfId="21650" xr:uid="{38610B7C-6273-4D7C-9005-A79F6D4490DC}"/>
    <cellStyle name="Normal 4 4 2 11" xfId="8985" xr:uid="{8EB1C119-5434-4C55-A171-676F676E6733}"/>
    <cellStyle name="Normal 4 4 2 12" xfId="17433" xr:uid="{51F7EDDC-C130-4594-AC25-1FEA69212B25}"/>
    <cellStyle name="Normal 4 4 2 2" xfId="380" xr:uid="{00000000-0005-0000-0000-0000C6140000}"/>
    <cellStyle name="Normal 4 4 2 2 10" xfId="8986" xr:uid="{CF22C9D1-7A91-4D67-9941-DA92E1529710}"/>
    <cellStyle name="Normal 4 4 2 2 11" xfId="17434" xr:uid="{B58363A9-6ABF-46D4-9E1A-09E5749DC31E}"/>
    <cellStyle name="Normal 4 4 2 2 2" xfId="381" xr:uid="{00000000-0005-0000-0000-0000C7140000}"/>
    <cellStyle name="Normal 4 4 2 2 2 10" xfId="17435" xr:uid="{DD4F2954-9539-42E3-ACDF-B27F49B6584B}"/>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2 2 2" xfId="15764" xr:uid="{3FF59984-1BEC-4B96-BEB6-B02BD829CE88}"/>
    <cellStyle name="Normal 4 4 2 2 2 2 2 2 2 3" xfId="24211" xr:uid="{31495D04-E750-4537-A075-43ACBEF24D9B}"/>
    <cellStyle name="Normal 4 4 2 2 2 2 2 2 3" xfId="11546" xr:uid="{FB2CF6D6-FFB9-4037-A9F0-DE1EBEA2CF0D}"/>
    <cellStyle name="Normal 4 4 2 2 2 2 2 2 4" xfId="19994" xr:uid="{37488055-49C6-4425-994C-C6070F0DEE65}"/>
    <cellStyle name="Normal 4 4 2 2 2 2 2 3" xfId="5169" xr:uid="{00000000-0005-0000-0000-0000CC140000}"/>
    <cellStyle name="Normal 4 4 2 2 2 2 2 3 2" xfId="13619" xr:uid="{CFD11C3F-5A94-413C-8A4A-99819A23B0FA}"/>
    <cellStyle name="Normal 4 4 2 2 2 2 2 3 3" xfId="22066" xr:uid="{4965A843-80B2-4706-A9C1-EF6C95E7BCF7}"/>
    <cellStyle name="Normal 4 4 2 2 2 2 2 4" xfId="9401" xr:uid="{795453B0-17F7-4298-A2E2-72F3FA0A6F7C}"/>
    <cellStyle name="Normal 4 4 2 2 2 2 2 5" xfId="17849" xr:uid="{0184C2F6-AFF5-4371-B2CC-4FE3E40A210D}"/>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2 2 2" xfId="16177" xr:uid="{0020807C-E14C-4CF0-ABF8-D1A76CB2E1AB}"/>
    <cellStyle name="Normal 4 4 2 2 2 2 3 2 2 3" xfId="24624" xr:uid="{66DE5BFE-C1B8-4DDE-B985-4E3F2E54B9F5}"/>
    <cellStyle name="Normal 4 4 2 2 2 2 3 2 3" xfId="11959" xr:uid="{54519961-F5A0-44DF-815C-4F5C344A2542}"/>
    <cellStyle name="Normal 4 4 2 2 2 2 3 2 4" xfId="20407" xr:uid="{5EB22E6D-3F49-42CB-A027-28BC771F07AF}"/>
    <cellStyle name="Normal 4 4 2 2 2 2 3 3" xfId="5582" xr:uid="{00000000-0005-0000-0000-0000D0140000}"/>
    <cellStyle name="Normal 4 4 2 2 2 2 3 3 2" xfId="14032" xr:uid="{FFFDFF10-EC4A-4A12-833C-0B0A4F08C7A7}"/>
    <cellStyle name="Normal 4 4 2 2 2 2 3 3 3" xfId="22479" xr:uid="{95D9E2B3-3D02-4252-9760-491CD14CCB5E}"/>
    <cellStyle name="Normal 4 4 2 2 2 2 3 4" xfId="9814" xr:uid="{586BBC7E-74BD-4539-B5EF-71100EA9425E}"/>
    <cellStyle name="Normal 4 4 2 2 2 2 3 5" xfId="18262" xr:uid="{B2B271F4-B233-4FF7-B7A0-0F359531A6E4}"/>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2 2 2" xfId="16590" xr:uid="{26DE9C42-8B98-429D-A951-FE7F23E74A7A}"/>
    <cellStyle name="Normal 4 4 2 2 2 2 4 2 2 3" xfId="25037" xr:uid="{54729555-88CE-4DF1-9D3B-58AD9ECD4EF2}"/>
    <cellStyle name="Normal 4 4 2 2 2 2 4 2 3" xfId="12372" xr:uid="{570BC84D-38F5-43A2-990D-522ED03CEE17}"/>
    <cellStyle name="Normal 4 4 2 2 2 2 4 2 4" xfId="20820" xr:uid="{4044903A-B129-4C00-A562-8D7CBCC219E3}"/>
    <cellStyle name="Normal 4 4 2 2 2 2 4 3" xfId="5995" xr:uid="{00000000-0005-0000-0000-0000D4140000}"/>
    <cellStyle name="Normal 4 4 2 2 2 2 4 3 2" xfId="14445" xr:uid="{FF2B16CD-AEFC-4E27-8C4F-4D2B48574BF3}"/>
    <cellStyle name="Normal 4 4 2 2 2 2 4 3 3" xfId="22892" xr:uid="{0082DAC6-10B5-442D-A83D-48FFE9685C33}"/>
    <cellStyle name="Normal 4 4 2 2 2 2 4 4" xfId="10227" xr:uid="{4F4FC942-183A-47F5-97B5-9D97F125F20A}"/>
    <cellStyle name="Normal 4 4 2 2 2 2 4 5" xfId="18675" xr:uid="{174ED0EC-38C2-4BA0-A2F1-2D1F1302345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2 2 2" xfId="17003" xr:uid="{74CEB127-12C5-4128-8D3D-4A2AE2997596}"/>
    <cellStyle name="Normal 4 4 2 2 2 2 5 2 2 3" xfId="25450" xr:uid="{9BB34679-3D5C-44C5-B485-697E7BC50447}"/>
    <cellStyle name="Normal 4 4 2 2 2 2 5 2 3" xfId="12785" xr:uid="{FF010EEA-2DE2-4BD5-8752-D3C46CC4CD45}"/>
    <cellStyle name="Normal 4 4 2 2 2 2 5 2 4" xfId="21233" xr:uid="{B12B5E75-BE3F-4C0B-93C5-6082AFA3857C}"/>
    <cellStyle name="Normal 4 4 2 2 2 2 5 3" xfId="6408" xr:uid="{00000000-0005-0000-0000-0000D8140000}"/>
    <cellStyle name="Normal 4 4 2 2 2 2 5 3 2" xfId="14858" xr:uid="{9DE3C21C-F9B5-4857-B442-78A8686A7123}"/>
    <cellStyle name="Normal 4 4 2 2 2 2 5 3 3" xfId="23305" xr:uid="{103788EC-8159-4259-AEF3-AAC58071C0AE}"/>
    <cellStyle name="Normal 4 4 2 2 2 2 5 4" xfId="10640" xr:uid="{5BB3DC3E-E956-4BC2-9BC0-73863EE2D919}"/>
    <cellStyle name="Normal 4 4 2 2 2 2 5 5" xfId="19088" xr:uid="{3680D806-366A-4D81-B1C2-C6398DB91993}"/>
    <cellStyle name="Normal 4 4 2 2 2 2 6" xfId="2538" xr:uid="{00000000-0005-0000-0000-0000D9140000}"/>
    <cellStyle name="Normal 4 4 2 2 2 2 6 2" xfId="6821" xr:uid="{00000000-0005-0000-0000-0000DA140000}"/>
    <cellStyle name="Normal 4 4 2 2 2 2 6 2 2" xfId="15271" xr:uid="{A276EE1F-F492-4BFB-9D2A-4C4AE310FA63}"/>
    <cellStyle name="Normal 4 4 2 2 2 2 6 2 3" xfId="23718" xr:uid="{95311B87-F76F-4410-A300-520F36EB75DE}"/>
    <cellStyle name="Normal 4 4 2 2 2 2 6 3" xfId="11053" xr:uid="{AC422AB6-966A-4B72-A4C7-65CB23E841F7}"/>
    <cellStyle name="Normal 4 4 2 2 2 2 6 4" xfId="19501" xr:uid="{27DB41DC-5721-44B5-8BB6-766B67C8C979}"/>
    <cellStyle name="Normal 4 4 2 2 2 2 7" xfId="4756" xr:uid="{00000000-0005-0000-0000-0000DB140000}"/>
    <cellStyle name="Normal 4 4 2 2 2 2 7 2" xfId="13206" xr:uid="{1F1DE73F-1517-467D-99D5-1A22E4478CEF}"/>
    <cellStyle name="Normal 4 4 2 2 2 2 7 3" xfId="21653" xr:uid="{36B3F82E-6F24-4A9B-9751-CAD128CC12D7}"/>
    <cellStyle name="Normal 4 4 2 2 2 2 8" xfId="8988" xr:uid="{5B27AE02-4358-488C-AEBE-565319CBBEC3}"/>
    <cellStyle name="Normal 4 4 2 2 2 2 9" xfId="17436" xr:uid="{486A92A8-EE05-4617-9354-5BA088471366}"/>
    <cellStyle name="Normal 4 4 2 2 2 3" xfId="856" xr:uid="{00000000-0005-0000-0000-0000DC140000}"/>
    <cellStyle name="Normal 4 4 2 2 2 3 2" xfId="3091" xr:uid="{00000000-0005-0000-0000-0000DD140000}"/>
    <cellStyle name="Normal 4 4 2 2 2 3 2 2" xfId="7313" xr:uid="{00000000-0005-0000-0000-0000DE140000}"/>
    <cellStyle name="Normal 4 4 2 2 2 3 2 2 2" xfId="15763" xr:uid="{81B6CAC4-04AA-485A-AB69-F2E7D05BFE4C}"/>
    <cellStyle name="Normal 4 4 2 2 2 3 2 2 3" xfId="24210" xr:uid="{9BE4AEB4-CBCF-4D4D-91FE-5E1E615D4EE1}"/>
    <cellStyle name="Normal 4 4 2 2 2 3 2 3" xfId="11545" xr:uid="{DE2FF83C-E650-400C-8C52-E42340303A3E}"/>
    <cellStyle name="Normal 4 4 2 2 2 3 2 4" xfId="19993" xr:uid="{E66C77C7-19AF-4993-8532-74D9D7ED5799}"/>
    <cellStyle name="Normal 4 4 2 2 2 3 3" xfId="5168" xr:uid="{00000000-0005-0000-0000-0000DF140000}"/>
    <cellStyle name="Normal 4 4 2 2 2 3 3 2" xfId="13618" xr:uid="{0938EBD2-57AC-4CD6-A816-1BF77CB564FE}"/>
    <cellStyle name="Normal 4 4 2 2 2 3 3 3" xfId="22065" xr:uid="{D34AA443-EDA7-4852-B3BD-B35B7625E4EC}"/>
    <cellStyle name="Normal 4 4 2 2 2 3 4" xfId="9400" xr:uid="{01792AEB-235A-4876-B8C1-87CB2AB44382}"/>
    <cellStyle name="Normal 4 4 2 2 2 3 5" xfId="17848" xr:uid="{89389E7F-FE2C-4084-82EE-932ED7877494}"/>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2 2 2" xfId="16176" xr:uid="{3B35EF1C-45CF-45C0-A18C-3C6E495B2637}"/>
    <cellStyle name="Normal 4 4 2 2 2 4 2 2 3" xfId="24623" xr:uid="{1B852A37-D81B-4EFB-9480-AF3F74568007}"/>
    <cellStyle name="Normal 4 4 2 2 2 4 2 3" xfId="11958" xr:uid="{94500853-A5C8-4E20-B308-AC85454DE904}"/>
    <cellStyle name="Normal 4 4 2 2 2 4 2 4" xfId="20406" xr:uid="{37C149E7-6D1E-4FF4-9CD4-19E1B1B967AD}"/>
    <cellStyle name="Normal 4 4 2 2 2 4 3" xfId="5581" xr:uid="{00000000-0005-0000-0000-0000E3140000}"/>
    <cellStyle name="Normal 4 4 2 2 2 4 3 2" xfId="14031" xr:uid="{7BCF2465-7EC4-406C-8005-368097F0715D}"/>
    <cellStyle name="Normal 4 4 2 2 2 4 3 3" xfId="22478" xr:uid="{BFB93FCB-66D8-4982-A389-0B0DF066F198}"/>
    <cellStyle name="Normal 4 4 2 2 2 4 4" xfId="9813" xr:uid="{2A8FE36C-C2D2-4CE7-A22F-4CBD22C51090}"/>
    <cellStyle name="Normal 4 4 2 2 2 4 5" xfId="18261" xr:uid="{13CAB546-8A6C-4417-BC4C-A50AE2C09CF5}"/>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2 2 2" xfId="16589" xr:uid="{B3762881-628C-4866-9A76-8A4D758EC843}"/>
    <cellStyle name="Normal 4 4 2 2 2 5 2 2 3" xfId="25036" xr:uid="{D200EA5E-133A-49C9-8E2D-8301FEB18B28}"/>
    <cellStyle name="Normal 4 4 2 2 2 5 2 3" xfId="12371" xr:uid="{DA08F35E-8A16-4FE6-B0DE-34AAE6DCF706}"/>
    <cellStyle name="Normal 4 4 2 2 2 5 2 4" xfId="20819" xr:uid="{813D1025-88DE-48DA-93A9-CB46A36338DD}"/>
    <cellStyle name="Normal 4 4 2 2 2 5 3" xfId="5994" xr:uid="{00000000-0005-0000-0000-0000E7140000}"/>
    <cellStyle name="Normal 4 4 2 2 2 5 3 2" xfId="14444" xr:uid="{25D7CCB5-594B-4887-90FF-83D76E230EDD}"/>
    <cellStyle name="Normal 4 4 2 2 2 5 3 3" xfId="22891" xr:uid="{4A46E79A-D190-4A34-AF0A-59F74D8AC034}"/>
    <cellStyle name="Normal 4 4 2 2 2 5 4" xfId="10226" xr:uid="{4011A97A-B9D7-4D6C-A594-EF9C0CFCFE4A}"/>
    <cellStyle name="Normal 4 4 2 2 2 5 5" xfId="18674" xr:uid="{41709572-D427-4F13-8E86-22DB477F5266}"/>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2 2 2" xfId="17002" xr:uid="{B5846C1E-B13B-42D4-97D2-161CEB4036DF}"/>
    <cellStyle name="Normal 4 4 2 2 2 6 2 2 3" xfId="25449" xr:uid="{819D1048-F2A3-4B94-837A-8A5CD2FBACCE}"/>
    <cellStyle name="Normal 4 4 2 2 2 6 2 3" xfId="12784" xr:uid="{E1600E20-FD83-461C-B2B1-CBB4B298A31C}"/>
    <cellStyle name="Normal 4 4 2 2 2 6 2 4" xfId="21232" xr:uid="{B8F17F4D-6574-4324-85E4-800DF446322F}"/>
    <cellStyle name="Normal 4 4 2 2 2 6 3" xfId="6407" xr:uid="{00000000-0005-0000-0000-0000EB140000}"/>
    <cellStyle name="Normal 4 4 2 2 2 6 3 2" xfId="14857" xr:uid="{C7213824-9858-4EAF-8AF1-459256156E2E}"/>
    <cellStyle name="Normal 4 4 2 2 2 6 3 3" xfId="23304" xr:uid="{4A6DAA54-90C7-420B-A287-FB07426C9CEA}"/>
    <cellStyle name="Normal 4 4 2 2 2 6 4" xfId="10639" xr:uid="{1B46A152-D63D-4DD8-9D8D-1992C90134F7}"/>
    <cellStyle name="Normal 4 4 2 2 2 6 5" xfId="19087" xr:uid="{BD5E44EE-8C99-44BC-AA4F-A3E66A45391D}"/>
    <cellStyle name="Normal 4 4 2 2 2 7" xfId="2537" xr:uid="{00000000-0005-0000-0000-0000EC140000}"/>
    <cellStyle name="Normal 4 4 2 2 2 7 2" xfId="6820" xr:uid="{00000000-0005-0000-0000-0000ED140000}"/>
    <cellStyle name="Normal 4 4 2 2 2 7 2 2" xfId="15270" xr:uid="{17B762B7-2A1E-4D07-A135-C075661A9480}"/>
    <cellStyle name="Normal 4 4 2 2 2 7 2 3" xfId="23717" xr:uid="{7579CAAB-0DF5-4BD2-ADC9-C14392D1661A}"/>
    <cellStyle name="Normal 4 4 2 2 2 7 3" xfId="11052" xr:uid="{763F6CC1-E0EB-4FD1-ABC3-2D04D9A24896}"/>
    <cellStyle name="Normal 4 4 2 2 2 7 4" xfId="19500" xr:uid="{0E03E290-5686-4F63-9189-6E3DC00EC2E2}"/>
    <cellStyle name="Normal 4 4 2 2 2 8" xfId="4755" xr:uid="{00000000-0005-0000-0000-0000EE140000}"/>
    <cellStyle name="Normal 4 4 2 2 2 8 2" xfId="13205" xr:uid="{899E1131-6F0A-4BF9-AFE1-E01408382680}"/>
    <cellStyle name="Normal 4 4 2 2 2 8 3" xfId="21652" xr:uid="{7CF7AA64-4CA1-4A9C-800C-0604F9A750AA}"/>
    <cellStyle name="Normal 4 4 2 2 2 9" xfId="8987" xr:uid="{F0AC9B5B-931E-45C4-AF30-E370AC718881}"/>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2 2 2" xfId="15765" xr:uid="{E11AE15F-ED16-45BF-9D00-5B35489FAC29}"/>
    <cellStyle name="Normal 4 4 2 2 3 2 2 2 3" xfId="24212" xr:uid="{B0040533-23F6-44A1-A68F-DDD19656C624}"/>
    <cellStyle name="Normal 4 4 2 2 3 2 2 3" xfId="11547" xr:uid="{3CE53E40-47D3-46B8-A2E5-8055B6C1AA6F}"/>
    <cellStyle name="Normal 4 4 2 2 3 2 2 4" xfId="19995" xr:uid="{B88C3FC1-B9F3-4EDE-85D5-AF5DC86A6C6F}"/>
    <cellStyle name="Normal 4 4 2 2 3 2 3" xfId="5170" xr:uid="{00000000-0005-0000-0000-0000F3140000}"/>
    <cellStyle name="Normal 4 4 2 2 3 2 3 2" xfId="13620" xr:uid="{C06174C5-10AA-436E-A9D5-A5559BB494C6}"/>
    <cellStyle name="Normal 4 4 2 2 3 2 3 3" xfId="22067" xr:uid="{5E8830BE-75CA-494C-8812-C845E7A0CD3E}"/>
    <cellStyle name="Normal 4 4 2 2 3 2 4" xfId="9402" xr:uid="{628CA364-E570-40E2-9CBE-F9CA249B5B4E}"/>
    <cellStyle name="Normal 4 4 2 2 3 2 5" xfId="17850" xr:uid="{78C427F8-EB9D-45A3-A04D-14CBE9CA0209}"/>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2 2 2" xfId="16178" xr:uid="{27DBF1E4-1FA0-4B40-865A-88B3EE429EB1}"/>
    <cellStyle name="Normal 4 4 2 2 3 3 2 2 3" xfId="24625" xr:uid="{4F0098D2-7D9B-4BB7-9242-3CDBF493D405}"/>
    <cellStyle name="Normal 4 4 2 2 3 3 2 3" xfId="11960" xr:uid="{72D2020F-ABF8-40D3-8110-B64024D354C5}"/>
    <cellStyle name="Normal 4 4 2 2 3 3 2 4" xfId="20408" xr:uid="{FE275F63-BD4C-4666-AEF7-5AE8B06E2FAE}"/>
    <cellStyle name="Normal 4 4 2 2 3 3 3" xfId="5583" xr:uid="{00000000-0005-0000-0000-0000F7140000}"/>
    <cellStyle name="Normal 4 4 2 2 3 3 3 2" xfId="14033" xr:uid="{CFE67786-BD64-4F79-B651-04979B439C2B}"/>
    <cellStyle name="Normal 4 4 2 2 3 3 3 3" xfId="22480" xr:uid="{2624626B-829B-4F26-AA81-8374838EFDC1}"/>
    <cellStyle name="Normal 4 4 2 2 3 3 4" xfId="9815" xr:uid="{1ED01B52-4E5C-459D-ABC0-4777BC2834B4}"/>
    <cellStyle name="Normal 4 4 2 2 3 3 5" xfId="18263" xr:uid="{BA4C344E-177C-41B9-96DA-905B00E2D61E}"/>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2 2 2" xfId="16591" xr:uid="{979B5635-2064-47EE-9E4E-E91A8ECBCF6C}"/>
    <cellStyle name="Normal 4 4 2 2 3 4 2 2 3" xfId="25038" xr:uid="{DBB393D8-0E0D-4EC3-80CC-79031C5B6EB1}"/>
    <cellStyle name="Normal 4 4 2 2 3 4 2 3" xfId="12373" xr:uid="{1CDB4FAF-79EC-408E-B621-A7C6F531453B}"/>
    <cellStyle name="Normal 4 4 2 2 3 4 2 4" xfId="20821" xr:uid="{2E94E245-FCDA-49D6-AAC1-7F11447BD69D}"/>
    <cellStyle name="Normal 4 4 2 2 3 4 3" xfId="5996" xr:uid="{00000000-0005-0000-0000-0000FB140000}"/>
    <cellStyle name="Normal 4 4 2 2 3 4 3 2" xfId="14446" xr:uid="{838A24CC-D32F-4E11-93B7-142868D5FF27}"/>
    <cellStyle name="Normal 4 4 2 2 3 4 3 3" xfId="22893" xr:uid="{55EAB225-390B-4982-BF2B-8749F93C6CFE}"/>
    <cellStyle name="Normal 4 4 2 2 3 4 4" xfId="10228" xr:uid="{31BB3B7F-DAEB-4CAB-99A7-45C12ACD8C90}"/>
    <cellStyle name="Normal 4 4 2 2 3 4 5" xfId="18676" xr:uid="{278867DE-E19A-454D-9DD9-B329F39D4832}"/>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2 2 2" xfId="17004" xr:uid="{419B2D59-DE95-42F9-B784-C335B1DDA6F1}"/>
    <cellStyle name="Normal 4 4 2 2 3 5 2 2 3" xfId="25451" xr:uid="{5606D369-F65C-4E19-9623-DF839AB514F9}"/>
    <cellStyle name="Normal 4 4 2 2 3 5 2 3" xfId="12786" xr:uid="{11E5CCD5-159A-4091-8489-A111D33D31EB}"/>
    <cellStyle name="Normal 4 4 2 2 3 5 2 4" xfId="21234" xr:uid="{669F57AE-4D43-4D4A-97FA-2F1022858A20}"/>
    <cellStyle name="Normal 4 4 2 2 3 5 3" xfId="6409" xr:uid="{00000000-0005-0000-0000-0000FF140000}"/>
    <cellStyle name="Normal 4 4 2 2 3 5 3 2" xfId="14859" xr:uid="{3DA1F842-0D8B-4298-936B-670A907CB123}"/>
    <cellStyle name="Normal 4 4 2 2 3 5 3 3" xfId="23306" xr:uid="{77B237CE-967B-4320-B23C-2DC957EBF06F}"/>
    <cellStyle name="Normal 4 4 2 2 3 5 4" xfId="10641" xr:uid="{FB48B707-1FFE-450D-87C5-2760F9E8455A}"/>
    <cellStyle name="Normal 4 4 2 2 3 5 5" xfId="19089" xr:uid="{DAB10473-0F63-4787-B1FD-9BED670DBD8B}"/>
    <cellStyle name="Normal 4 4 2 2 3 6" xfId="2539" xr:uid="{00000000-0005-0000-0000-000000150000}"/>
    <cellStyle name="Normal 4 4 2 2 3 6 2" xfId="6822" xr:uid="{00000000-0005-0000-0000-000001150000}"/>
    <cellStyle name="Normal 4 4 2 2 3 6 2 2" xfId="15272" xr:uid="{676FD9BA-1A68-479B-9E2A-0775ACF7C3DF}"/>
    <cellStyle name="Normal 4 4 2 2 3 6 2 3" xfId="23719" xr:uid="{4DFA8AC5-56CB-45D8-B2A9-7D96515E6876}"/>
    <cellStyle name="Normal 4 4 2 2 3 6 3" xfId="11054" xr:uid="{8E768754-E625-4FAE-8980-0536415C4D13}"/>
    <cellStyle name="Normal 4 4 2 2 3 6 4" xfId="19502" xr:uid="{B9A3B9F1-A2EA-43D0-A0E1-C7B764A84FB5}"/>
    <cellStyle name="Normal 4 4 2 2 3 7" xfId="4757" xr:uid="{00000000-0005-0000-0000-000002150000}"/>
    <cellStyle name="Normal 4 4 2 2 3 7 2" xfId="13207" xr:uid="{87D0C4BA-2B3A-4159-89B0-FE77148FC287}"/>
    <cellStyle name="Normal 4 4 2 2 3 7 3" xfId="21654" xr:uid="{25941C35-7240-4FDE-8F50-F5EEDC1D0790}"/>
    <cellStyle name="Normal 4 4 2 2 3 8" xfId="8989" xr:uid="{B04BC925-FFCC-4FAB-8C2D-BBB2C1057EB4}"/>
    <cellStyle name="Normal 4 4 2 2 3 9" xfId="17437" xr:uid="{23203A25-6FC3-4E01-83EA-AD88FCCBE279}"/>
    <cellStyle name="Normal 4 4 2 2 4" xfId="855" xr:uid="{00000000-0005-0000-0000-000003150000}"/>
    <cellStyle name="Normal 4 4 2 2 4 2" xfId="3090" xr:uid="{00000000-0005-0000-0000-000004150000}"/>
    <cellStyle name="Normal 4 4 2 2 4 2 2" xfId="7312" xr:uid="{00000000-0005-0000-0000-000005150000}"/>
    <cellStyle name="Normal 4 4 2 2 4 2 2 2" xfId="15762" xr:uid="{BB39DDB3-9D7C-4BE5-BD1F-89F1B2F1D487}"/>
    <cellStyle name="Normal 4 4 2 2 4 2 2 3" xfId="24209" xr:uid="{F88FE8F5-83C2-4CBD-9B8D-69E41D475DD5}"/>
    <cellStyle name="Normal 4 4 2 2 4 2 3" xfId="11544" xr:uid="{BD50E6DE-D277-4CE2-8761-986832A18E61}"/>
    <cellStyle name="Normal 4 4 2 2 4 2 4" xfId="19992" xr:uid="{2C7B902A-335B-402E-9B1F-98522564DADF}"/>
    <cellStyle name="Normal 4 4 2 2 4 3" xfId="5167" xr:uid="{00000000-0005-0000-0000-000006150000}"/>
    <cellStyle name="Normal 4 4 2 2 4 3 2" xfId="13617" xr:uid="{DDCDA417-39E4-4A23-85F1-6D7CA8650078}"/>
    <cellStyle name="Normal 4 4 2 2 4 3 3" xfId="22064" xr:uid="{3B0B4002-CC6C-46CC-BE20-91822760CE39}"/>
    <cellStyle name="Normal 4 4 2 2 4 4" xfId="9399" xr:uid="{8FD22006-DBB3-4578-A42C-4071B4275E51}"/>
    <cellStyle name="Normal 4 4 2 2 4 5" xfId="17847" xr:uid="{E2A10780-E821-4E11-9CA5-23DF5E9111B7}"/>
    <cellStyle name="Normal 4 4 2 2 5" xfId="1273" xr:uid="{00000000-0005-0000-0000-000007150000}"/>
    <cellStyle name="Normal 4 4 2 2 5 2" xfId="3503" xr:uid="{00000000-0005-0000-0000-000008150000}"/>
    <cellStyle name="Normal 4 4 2 2 5 2 2" xfId="7725" xr:uid="{00000000-0005-0000-0000-000009150000}"/>
    <cellStyle name="Normal 4 4 2 2 5 2 2 2" xfId="16175" xr:uid="{2B71FFB2-15B4-4549-84A4-7A9FA26F0BC8}"/>
    <cellStyle name="Normal 4 4 2 2 5 2 2 3" xfId="24622" xr:uid="{3C78AC2C-B11C-4EED-8FBA-A4888089FA80}"/>
    <cellStyle name="Normal 4 4 2 2 5 2 3" xfId="11957" xr:uid="{D2E3A721-05B9-4F67-8AA4-0A3297069B67}"/>
    <cellStyle name="Normal 4 4 2 2 5 2 4" xfId="20405" xr:uid="{2928D642-38E1-43C3-96E6-C91ACF9CB5BA}"/>
    <cellStyle name="Normal 4 4 2 2 5 3" xfId="5580" xr:uid="{00000000-0005-0000-0000-00000A150000}"/>
    <cellStyle name="Normal 4 4 2 2 5 3 2" xfId="14030" xr:uid="{71827801-ED0D-4FA1-B1B1-668A37306BA2}"/>
    <cellStyle name="Normal 4 4 2 2 5 3 3" xfId="22477" xr:uid="{983F2CF7-C672-46E1-85F9-39B56F48EE71}"/>
    <cellStyle name="Normal 4 4 2 2 5 4" xfId="9812" xr:uid="{CF0D585D-0D85-4007-908F-0D596D8187D2}"/>
    <cellStyle name="Normal 4 4 2 2 5 5" xfId="18260" xr:uid="{A3377211-2843-4EA1-84D3-36B3D609D044}"/>
    <cellStyle name="Normal 4 4 2 2 6" xfId="1686" xr:uid="{00000000-0005-0000-0000-00000B150000}"/>
    <cellStyle name="Normal 4 4 2 2 6 2" xfId="3916" xr:uid="{00000000-0005-0000-0000-00000C150000}"/>
    <cellStyle name="Normal 4 4 2 2 6 2 2" xfId="8138" xr:uid="{00000000-0005-0000-0000-00000D150000}"/>
    <cellStyle name="Normal 4 4 2 2 6 2 2 2" xfId="16588" xr:uid="{6F1476D5-02C4-40B0-8DDB-4494F02BE42C}"/>
    <cellStyle name="Normal 4 4 2 2 6 2 2 3" xfId="25035" xr:uid="{5D6F604B-9A4A-4D1D-A60A-CA8EDDEBD235}"/>
    <cellStyle name="Normal 4 4 2 2 6 2 3" xfId="12370" xr:uid="{0FB94AAD-A968-4D9F-B297-6B4B7ECFEBBB}"/>
    <cellStyle name="Normal 4 4 2 2 6 2 4" xfId="20818" xr:uid="{83C19A95-C29D-42BD-B6EA-7A5DA5205583}"/>
    <cellStyle name="Normal 4 4 2 2 6 3" xfId="5993" xr:uid="{00000000-0005-0000-0000-00000E150000}"/>
    <cellStyle name="Normal 4 4 2 2 6 3 2" xfId="14443" xr:uid="{A899B14A-F003-40D0-8A37-4272715499EF}"/>
    <cellStyle name="Normal 4 4 2 2 6 3 3" xfId="22890" xr:uid="{A837B862-0E2B-4D9A-84CB-AA3CDB8FA001}"/>
    <cellStyle name="Normal 4 4 2 2 6 4" xfId="10225" xr:uid="{FD49197E-2A8A-452C-9BB2-BD49FFBFDB2D}"/>
    <cellStyle name="Normal 4 4 2 2 6 5" xfId="18673" xr:uid="{50B72EB4-0CD8-4B4A-85BE-AB7766958FE6}"/>
    <cellStyle name="Normal 4 4 2 2 7" xfId="2100" xr:uid="{00000000-0005-0000-0000-00000F150000}"/>
    <cellStyle name="Normal 4 4 2 2 7 2" xfId="4329" xr:uid="{00000000-0005-0000-0000-000010150000}"/>
    <cellStyle name="Normal 4 4 2 2 7 2 2" xfId="8551" xr:uid="{00000000-0005-0000-0000-000011150000}"/>
    <cellStyle name="Normal 4 4 2 2 7 2 2 2" xfId="17001" xr:uid="{32A8AD8F-D32D-4778-B265-89BC327BC1F2}"/>
    <cellStyle name="Normal 4 4 2 2 7 2 2 3" xfId="25448" xr:uid="{54FF6730-1FA4-42A2-8C10-7B3685D95D47}"/>
    <cellStyle name="Normal 4 4 2 2 7 2 3" xfId="12783" xr:uid="{3C70741A-6696-4277-9EDE-2419FC94FB69}"/>
    <cellStyle name="Normal 4 4 2 2 7 2 4" xfId="21231" xr:uid="{088B70BC-B18A-40EE-8E62-363C5C046B21}"/>
    <cellStyle name="Normal 4 4 2 2 7 3" xfId="6406" xr:uid="{00000000-0005-0000-0000-000012150000}"/>
    <cellStyle name="Normal 4 4 2 2 7 3 2" xfId="14856" xr:uid="{2C540B04-78E1-461D-9805-1CA21BC3AE8F}"/>
    <cellStyle name="Normal 4 4 2 2 7 3 3" xfId="23303" xr:uid="{C8492DF5-7038-4F7A-84CC-469E950953EC}"/>
    <cellStyle name="Normal 4 4 2 2 7 4" xfId="10638" xr:uid="{74134B8D-1386-4C75-9352-6FB3961EFDE0}"/>
    <cellStyle name="Normal 4 4 2 2 7 5" xfId="19086" xr:uid="{D657DE8E-C953-4BB9-9049-06C0CF8E42D8}"/>
    <cellStyle name="Normal 4 4 2 2 8" xfId="2536" xr:uid="{00000000-0005-0000-0000-000013150000}"/>
    <cellStyle name="Normal 4 4 2 2 8 2" xfId="6819" xr:uid="{00000000-0005-0000-0000-000014150000}"/>
    <cellStyle name="Normal 4 4 2 2 8 2 2" xfId="15269" xr:uid="{1C535474-FC4D-4970-9B11-D016C0FA5821}"/>
    <cellStyle name="Normal 4 4 2 2 8 2 3" xfId="23716" xr:uid="{0CA07CDD-D6A4-497A-8621-4E771ED58B38}"/>
    <cellStyle name="Normal 4 4 2 2 8 3" xfId="11051" xr:uid="{C23B8B12-EF2D-4AAB-AB2D-B06B42DB2085}"/>
    <cellStyle name="Normal 4 4 2 2 8 4" xfId="19499" xr:uid="{1C1299CE-C860-4AA1-AD88-6B645D5D8A2C}"/>
    <cellStyle name="Normal 4 4 2 2 9" xfId="4754" xr:uid="{00000000-0005-0000-0000-000015150000}"/>
    <cellStyle name="Normal 4 4 2 2 9 2" xfId="13204" xr:uid="{4A4C0AD0-6481-49CE-83AB-37B871C62F58}"/>
    <cellStyle name="Normal 4 4 2 2 9 3" xfId="21651" xr:uid="{D97F3594-EC0F-4A3E-B7C5-FC6C9A07EFCB}"/>
    <cellStyle name="Normal 4 4 2 3" xfId="384" xr:uid="{00000000-0005-0000-0000-000016150000}"/>
    <cellStyle name="Normal 4 4 2 3 10" xfId="17438" xr:uid="{183A04E7-E195-42B3-8ABC-BA633AA8F022}"/>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2 2 2" xfId="15767" xr:uid="{A7D8B6CA-0A77-4814-859F-B9BDFCA9B16C}"/>
    <cellStyle name="Normal 4 4 2 3 2 2 2 2 3" xfId="24214" xr:uid="{2D6B4339-42A0-426C-98F9-18367DD9A55B}"/>
    <cellStyle name="Normal 4 4 2 3 2 2 2 3" xfId="11549" xr:uid="{31A8AA76-B482-494F-8402-D54994BD72D3}"/>
    <cellStyle name="Normal 4 4 2 3 2 2 2 4" xfId="19997" xr:uid="{97798F30-34B9-499C-8CBF-CD092AB2B799}"/>
    <cellStyle name="Normal 4 4 2 3 2 2 3" xfId="5172" xr:uid="{00000000-0005-0000-0000-00001B150000}"/>
    <cellStyle name="Normal 4 4 2 3 2 2 3 2" xfId="13622" xr:uid="{18A742E1-AEF9-4F3C-B38D-904A4B0C5C60}"/>
    <cellStyle name="Normal 4 4 2 3 2 2 3 3" xfId="22069" xr:uid="{AD7B1135-E8B7-4032-BE56-9AC20FBCF0F0}"/>
    <cellStyle name="Normal 4 4 2 3 2 2 4" xfId="9404" xr:uid="{1B17D2F9-3D51-43ED-A642-1C1458A72134}"/>
    <cellStyle name="Normal 4 4 2 3 2 2 5" xfId="17852" xr:uid="{8B8A95F2-C288-4C49-9AAB-4DB78807E582}"/>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2 2 2" xfId="16180" xr:uid="{23722926-733D-42D6-A6A5-F70B3B48183E}"/>
    <cellStyle name="Normal 4 4 2 3 2 3 2 2 3" xfId="24627" xr:uid="{7E458E31-C862-419E-8192-63138A8FFB17}"/>
    <cellStyle name="Normal 4 4 2 3 2 3 2 3" xfId="11962" xr:uid="{C6D24A36-7243-4970-B132-F7008802DC9F}"/>
    <cellStyle name="Normal 4 4 2 3 2 3 2 4" xfId="20410" xr:uid="{A4E02442-20AF-42F0-8E76-F05304675366}"/>
    <cellStyle name="Normal 4 4 2 3 2 3 3" xfId="5585" xr:uid="{00000000-0005-0000-0000-00001F150000}"/>
    <cellStyle name="Normal 4 4 2 3 2 3 3 2" xfId="14035" xr:uid="{03F9A67F-5ADC-463D-BE46-8BB3F0DA4361}"/>
    <cellStyle name="Normal 4 4 2 3 2 3 3 3" xfId="22482" xr:uid="{89E6EE67-A814-4BA0-84B9-17EDF4341C7B}"/>
    <cellStyle name="Normal 4 4 2 3 2 3 4" xfId="9817" xr:uid="{A4117B29-D6F0-41D1-912B-D77ECA70F6CD}"/>
    <cellStyle name="Normal 4 4 2 3 2 3 5" xfId="18265" xr:uid="{53861A31-F9DA-4962-A22D-1E0A4DA79A4D}"/>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2 2 2" xfId="16593" xr:uid="{6DD9F461-E5E6-4AC8-91B5-290AFD4D2BDD}"/>
    <cellStyle name="Normal 4 4 2 3 2 4 2 2 3" xfId="25040" xr:uid="{836AE1F9-8AF0-4FE5-BB8F-6778F90F771F}"/>
    <cellStyle name="Normal 4 4 2 3 2 4 2 3" xfId="12375" xr:uid="{DD0DD725-2167-407B-810C-C67AC9EDBB25}"/>
    <cellStyle name="Normal 4 4 2 3 2 4 2 4" xfId="20823" xr:uid="{9E690A82-0BBA-48BD-8DB5-04ADD7D7F7B2}"/>
    <cellStyle name="Normal 4 4 2 3 2 4 3" xfId="5998" xr:uid="{00000000-0005-0000-0000-000023150000}"/>
    <cellStyle name="Normal 4 4 2 3 2 4 3 2" xfId="14448" xr:uid="{2832995D-E172-4B1C-9704-E27AB9B3B2E2}"/>
    <cellStyle name="Normal 4 4 2 3 2 4 3 3" xfId="22895" xr:uid="{878F6E38-2AF0-41B0-91F8-BAA5788B831C}"/>
    <cellStyle name="Normal 4 4 2 3 2 4 4" xfId="10230" xr:uid="{3413E106-94F8-4FB7-8CA5-6E38F76702A3}"/>
    <cellStyle name="Normal 4 4 2 3 2 4 5" xfId="18678" xr:uid="{AD27EACC-8548-4B53-A43E-FDD022638D85}"/>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2 2 2" xfId="17006" xr:uid="{515E54A9-9D22-4884-92BA-975C55FBF5DE}"/>
    <cellStyle name="Normal 4 4 2 3 2 5 2 2 3" xfId="25453" xr:uid="{C62C7405-3E48-4C74-9A6D-ECC36D875BB9}"/>
    <cellStyle name="Normal 4 4 2 3 2 5 2 3" xfId="12788" xr:uid="{6111DFAE-4D7A-4D54-A179-78AE1165B0D2}"/>
    <cellStyle name="Normal 4 4 2 3 2 5 2 4" xfId="21236" xr:uid="{E775DC9F-CEA9-4C0A-8BFE-E8DE8A0455E0}"/>
    <cellStyle name="Normal 4 4 2 3 2 5 3" xfId="6411" xr:uid="{00000000-0005-0000-0000-000027150000}"/>
    <cellStyle name="Normal 4 4 2 3 2 5 3 2" xfId="14861" xr:uid="{A0D6D7E8-183F-412E-9BF7-7ABB5E92B0FC}"/>
    <cellStyle name="Normal 4 4 2 3 2 5 3 3" xfId="23308" xr:uid="{D0209202-EE6A-4F4B-9BE3-41F1A39EAA73}"/>
    <cellStyle name="Normal 4 4 2 3 2 5 4" xfId="10643" xr:uid="{5E77498B-4BC1-4DF8-8F2E-541830DD97DD}"/>
    <cellStyle name="Normal 4 4 2 3 2 5 5" xfId="19091" xr:uid="{49E870BD-95FF-4128-B533-BCA019C1E142}"/>
    <cellStyle name="Normal 4 4 2 3 2 6" xfId="2541" xr:uid="{00000000-0005-0000-0000-000028150000}"/>
    <cellStyle name="Normal 4 4 2 3 2 6 2" xfId="6824" xr:uid="{00000000-0005-0000-0000-000029150000}"/>
    <cellStyle name="Normal 4 4 2 3 2 6 2 2" xfId="15274" xr:uid="{6E4F1BF3-0790-4A72-AF6C-8BB00A4C490E}"/>
    <cellStyle name="Normal 4 4 2 3 2 6 2 3" xfId="23721" xr:uid="{E86260D5-9DF5-48A6-9C1E-8D7E348E0CA8}"/>
    <cellStyle name="Normal 4 4 2 3 2 6 3" xfId="11056" xr:uid="{07263749-CA43-4539-99E0-B0B7BF0F1CF8}"/>
    <cellStyle name="Normal 4 4 2 3 2 6 4" xfId="19504" xr:uid="{B984AE10-5E8A-4317-8782-738F1703E233}"/>
    <cellStyle name="Normal 4 4 2 3 2 7" xfId="4759" xr:uid="{00000000-0005-0000-0000-00002A150000}"/>
    <cellStyle name="Normal 4 4 2 3 2 7 2" xfId="13209" xr:uid="{180BE230-C0F0-48E1-B45C-4E432126C31D}"/>
    <cellStyle name="Normal 4 4 2 3 2 7 3" xfId="21656" xr:uid="{06AF0B74-CCE8-4D35-A840-4454336FA15B}"/>
    <cellStyle name="Normal 4 4 2 3 2 8" xfId="8991" xr:uid="{AF51B106-F24E-4F60-958D-951FF7F44CC1}"/>
    <cellStyle name="Normal 4 4 2 3 2 9" xfId="17439" xr:uid="{84EEA749-3033-4D8B-940A-6EFF47F609F2}"/>
    <cellStyle name="Normal 4 4 2 3 3" xfId="859" xr:uid="{00000000-0005-0000-0000-00002B150000}"/>
    <cellStyle name="Normal 4 4 2 3 3 2" xfId="3094" xr:uid="{00000000-0005-0000-0000-00002C150000}"/>
    <cellStyle name="Normal 4 4 2 3 3 2 2" xfId="7316" xr:uid="{00000000-0005-0000-0000-00002D150000}"/>
    <cellStyle name="Normal 4 4 2 3 3 2 2 2" xfId="15766" xr:uid="{1C21DBC0-85CF-4874-83E0-745867EE213A}"/>
    <cellStyle name="Normal 4 4 2 3 3 2 2 3" xfId="24213" xr:uid="{55EB84E5-3A6A-45BC-85A3-B2D215736416}"/>
    <cellStyle name="Normal 4 4 2 3 3 2 3" xfId="11548" xr:uid="{A6DB1121-A4AB-4EAD-ACD9-B3F93DF772E0}"/>
    <cellStyle name="Normal 4 4 2 3 3 2 4" xfId="19996" xr:uid="{64EE9354-1610-4F60-91B6-E6F2AFA04ED8}"/>
    <cellStyle name="Normal 4 4 2 3 3 3" xfId="5171" xr:uid="{00000000-0005-0000-0000-00002E150000}"/>
    <cellStyle name="Normal 4 4 2 3 3 3 2" xfId="13621" xr:uid="{E47547F2-C6C0-42B0-81BC-2C66EF05D927}"/>
    <cellStyle name="Normal 4 4 2 3 3 3 3" xfId="22068" xr:uid="{19BFF1B6-1740-4694-A886-991E1EC252F5}"/>
    <cellStyle name="Normal 4 4 2 3 3 4" xfId="9403" xr:uid="{99E23800-EB9D-4ECF-8E5D-2C0B36759B7B}"/>
    <cellStyle name="Normal 4 4 2 3 3 5" xfId="17851" xr:uid="{9F723DCE-5928-4868-84C7-F2738FC7EDFC}"/>
    <cellStyle name="Normal 4 4 2 3 4" xfId="1277" xr:uid="{00000000-0005-0000-0000-00002F150000}"/>
    <cellStyle name="Normal 4 4 2 3 4 2" xfId="3507" xr:uid="{00000000-0005-0000-0000-000030150000}"/>
    <cellStyle name="Normal 4 4 2 3 4 2 2" xfId="7729" xr:uid="{00000000-0005-0000-0000-000031150000}"/>
    <cellStyle name="Normal 4 4 2 3 4 2 2 2" xfId="16179" xr:uid="{A1DA85BF-9396-4CE1-9498-AA71433653A4}"/>
    <cellStyle name="Normal 4 4 2 3 4 2 2 3" xfId="24626" xr:uid="{BCAB25F2-5EB2-4C84-8D52-4A0187BDC052}"/>
    <cellStyle name="Normal 4 4 2 3 4 2 3" xfId="11961" xr:uid="{9DC1FC34-36C9-4F95-8520-D468D2D2F2FC}"/>
    <cellStyle name="Normal 4 4 2 3 4 2 4" xfId="20409" xr:uid="{7E3DE396-9EBE-4A9D-8D6F-818491E01B2A}"/>
    <cellStyle name="Normal 4 4 2 3 4 3" xfId="5584" xr:uid="{00000000-0005-0000-0000-000032150000}"/>
    <cellStyle name="Normal 4 4 2 3 4 3 2" xfId="14034" xr:uid="{45EE102E-4AE5-4970-AE49-3C36C3AD8FB9}"/>
    <cellStyle name="Normal 4 4 2 3 4 3 3" xfId="22481" xr:uid="{0EEB8098-3545-4844-9753-34F98AEB6F09}"/>
    <cellStyle name="Normal 4 4 2 3 4 4" xfId="9816" xr:uid="{E06C4D64-3D19-472B-BF0A-2E5149975D0B}"/>
    <cellStyle name="Normal 4 4 2 3 4 5" xfId="18264" xr:uid="{3CB03590-207F-4699-8B97-728BE0CB813D}"/>
    <cellStyle name="Normal 4 4 2 3 5" xfId="1690" xr:uid="{00000000-0005-0000-0000-000033150000}"/>
    <cellStyle name="Normal 4 4 2 3 5 2" xfId="3920" xr:uid="{00000000-0005-0000-0000-000034150000}"/>
    <cellStyle name="Normal 4 4 2 3 5 2 2" xfId="8142" xr:uid="{00000000-0005-0000-0000-000035150000}"/>
    <cellStyle name="Normal 4 4 2 3 5 2 2 2" xfId="16592" xr:uid="{A4A4E8C1-F9D9-405F-949F-ABAE7A981386}"/>
    <cellStyle name="Normal 4 4 2 3 5 2 2 3" xfId="25039" xr:uid="{05827275-65C9-4560-97D4-E3A3C381F42C}"/>
    <cellStyle name="Normal 4 4 2 3 5 2 3" xfId="12374" xr:uid="{0386E546-0A4A-45BA-9B40-A521DCFA8B9C}"/>
    <cellStyle name="Normal 4 4 2 3 5 2 4" xfId="20822" xr:uid="{4202C52F-9586-4ABB-B021-95406FBF9CCA}"/>
    <cellStyle name="Normal 4 4 2 3 5 3" xfId="5997" xr:uid="{00000000-0005-0000-0000-000036150000}"/>
    <cellStyle name="Normal 4 4 2 3 5 3 2" xfId="14447" xr:uid="{4FCAC72B-F866-4D6A-8173-5EC387A59748}"/>
    <cellStyle name="Normal 4 4 2 3 5 3 3" xfId="22894" xr:uid="{AA9BF549-307D-42C8-989A-EED075DEFCA1}"/>
    <cellStyle name="Normal 4 4 2 3 5 4" xfId="10229" xr:uid="{4D06793D-8805-4735-90F2-D86034C7C07C}"/>
    <cellStyle name="Normal 4 4 2 3 5 5" xfId="18677" xr:uid="{A3044AF0-89F1-456D-BC39-DF1FC7DC6608}"/>
    <cellStyle name="Normal 4 4 2 3 6" xfId="2104" xr:uid="{00000000-0005-0000-0000-000037150000}"/>
    <cellStyle name="Normal 4 4 2 3 6 2" xfId="4333" xr:uid="{00000000-0005-0000-0000-000038150000}"/>
    <cellStyle name="Normal 4 4 2 3 6 2 2" xfId="8555" xr:uid="{00000000-0005-0000-0000-000039150000}"/>
    <cellStyle name="Normal 4 4 2 3 6 2 2 2" xfId="17005" xr:uid="{A5A97321-5979-445C-A1DB-183238390842}"/>
    <cellStyle name="Normal 4 4 2 3 6 2 2 3" xfId="25452" xr:uid="{5E034305-84BE-418C-99BA-143C7D3478A9}"/>
    <cellStyle name="Normal 4 4 2 3 6 2 3" xfId="12787" xr:uid="{D442C347-2022-461D-AE73-D8D259D2C6B8}"/>
    <cellStyle name="Normal 4 4 2 3 6 2 4" xfId="21235" xr:uid="{FEA2DDD3-E686-40BF-AF87-32E8814E1873}"/>
    <cellStyle name="Normal 4 4 2 3 6 3" xfId="6410" xr:uid="{00000000-0005-0000-0000-00003A150000}"/>
    <cellStyle name="Normal 4 4 2 3 6 3 2" xfId="14860" xr:uid="{5F4BDA98-88DB-418C-B12B-6004FDA612CA}"/>
    <cellStyle name="Normal 4 4 2 3 6 3 3" xfId="23307" xr:uid="{45976765-0318-4DA4-917C-15420DEF08DD}"/>
    <cellStyle name="Normal 4 4 2 3 6 4" xfId="10642" xr:uid="{6966C3FC-1E89-4007-B4F6-209504880461}"/>
    <cellStyle name="Normal 4 4 2 3 6 5" xfId="19090" xr:uid="{952E461B-88E7-400F-BEEF-5F6B0945EB30}"/>
    <cellStyle name="Normal 4 4 2 3 7" xfId="2540" xr:uid="{00000000-0005-0000-0000-00003B150000}"/>
    <cellStyle name="Normal 4 4 2 3 7 2" xfId="6823" xr:uid="{00000000-0005-0000-0000-00003C150000}"/>
    <cellStyle name="Normal 4 4 2 3 7 2 2" xfId="15273" xr:uid="{E6594E6D-C9A0-4E46-A8F6-45F12FEF0170}"/>
    <cellStyle name="Normal 4 4 2 3 7 2 3" xfId="23720" xr:uid="{B4FC8F98-0AE1-4F1F-916F-BD33F0D9D6D4}"/>
    <cellStyle name="Normal 4 4 2 3 7 3" xfId="11055" xr:uid="{A7340297-ECA1-4D5D-9AC1-7FF729CA1569}"/>
    <cellStyle name="Normal 4 4 2 3 7 4" xfId="19503" xr:uid="{798DA873-70A9-49B8-9654-75DC53146BC0}"/>
    <cellStyle name="Normal 4 4 2 3 8" xfId="4758" xr:uid="{00000000-0005-0000-0000-00003D150000}"/>
    <cellStyle name="Normal 4 4 2 3 8 2" xfId="13208" xr:uid="{20469693-ADC2-4DDB-92DE-18429BEB7237}"/>
    <cellStyle name="Normal 4 4 2 3 8 3" xfId="21655" xr:uid="{B1939064-D52A-4163-99E3-8F07E8A9540B}"/>
    <cellStyle name="Normal 4 4 2 3 9" xfId="8990" xr:uid="{986C0B9B-35DF-45EE-816F-518C1632D9FE}"/>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2 2 2" xfId="15768" xr:uid="{64540515-17E7-4EC4-8EE2-2B8B24D1165D}"/>
    <cellStyle name="Normal 4 4 2 4 2 2 2 3" xfId="24215" xr:uid="{06E82F85-3936-4B15-A206-FF784F1392B4}"/>
    <cellStyle name="Normal 4 4 2 4 2 2 3" xfId="11550" xr:uid="{89AA3477-C842-4EB2-AD4B-B78D46EE9BEF}"/>
    <cellStyle name="Normal 4 4 2 4 2 2 4" xfId="19998" xr:uid="{2FBCD27D-BB7B-4C02-9529-A8CA5795F450}"/>
    <cellStyle name="Normal 4 4 2 4 2 3" xfId="5173" xr:uid="{00000000-0005-0000-0000-000042150000}"/>
    <cellStyle name="Normal 4 4 2 4 2 3 2" xfId="13623" xr:uid="{E068F977-F197-4D2A-A51B-6C2CC60E23A5}"/>
    <cellStyle name="Normal 4 4 2 4 2 3 3" xfId="22070" xr:uid="{FE01B99F-BD10-4664-AB71-C6944F608489}"/>
    <cellStyle name="Normal 4 4 2 4 2 4" xfId="9405" xr:uid="{EF011935-BD83-4218-A924-1E8292709152}"/>
    <cellStyle name="Normal 4 4 2 4 2 5" xfId="17853" xr:uid="{54D8007E-B8E9-4C4E-A09D-3BB66BD2A63E}"/>
    <cellStyle name="Normal 4 4 2 4 3" xfId="1279" xr:uid="{00000000-0005-0000-0000-000043150000}"/>
    <cellStyle name="Normal 4 4 2 4 3 2" xfId="3509" xr:uid="{00000000-0005-0000-0000-000044150000}"/>
    <cellStyle name="Normal 4 4 2 4 3 2 2" xfId="7731" xr:uid="{00000000-0005-0000-0000-000045150000}"/>
    <cellStyle name="Normal 4 4 2 4 3 2 2 2" xfId="16181" xr:uid="{EA9CF189-B5D8-412A-815A-AED3DA32F339}"/>
    <cellStyle name="Normal 4 4 2 4 3 2 2 3" xfId="24628" xr:uid="{A1383770-9AA5-4C21-8DF9-7C6F19E140F2}"/>
    <cellStyle name="Normal 4 4 2 4 3 2 3" xfId="11963" xr:uid="{EDCBA1BA-FD4F-4E33-BCF5-5DBFEB913A25}"/>
    <cellStyle name="Normal 4 4 2 4 3 2 4" xfId="20411" xr:uid="{E1572A70-A757-439F-8721-AC138688631F}"/>
    <cellStyle name="Normal 4 4 2 4 3 3" xfId="5586" xr:uid="{00000000-0005-0000-0000-000046150000}"/>
    <cellStyle name="Normal 4 4 2 4 3 3 2" xfId="14036" xr:uid="{0D1BCA45-5602-41B4-9035-AA1FBDB3E6C1}"/>
    <cellStyle name="Normal 4 4 2 4 3 3 3" xfId="22483" xr:uid="{29398DF2-CF46-4522-9DAB-A0DF7FDCD2A2}"/>
    <cellStyle name="Normal 4 4 2 4 3 4" xfId="9818" xr:uid="{49E0A49D-E744-41D6-B10E-D265875FB81A}"/>
    <cellStyle name="Normal 4 4 2 4 3 5" xfId="18266" xr:uid="{1AE407C5-10A6-4ADF-BA10-1E05DB2272FC}"/>
    <cellStyle name="Normal 4 4 2 4 4" xfId="1692" xr:uid="{00000000-0005-0000-0000-000047150000}"/>
    <cellStyle name="Normal 4 4 2 4 4 2" xfId="3922" xr:uid="{00000000-0005-0000-0000-000048150000}"/>
    <cellStyle name="Normal 4 4 2 4 4 2 2" xfId="8144" xr:uid="{00000000-0005-0000-0000-000049150000}"/>
    <cellStyle name="Normal 4 4 2 4 4 2 2 2" xfId="16594" xr:uid="{ECAC67CD-1C9A-4E1D-B10B-671FD4C3B741}"/>
    <cellStyle name="Normal 4 4 2 4 4 2 2 3" xfId="25041" xr:uid="{87D51BB7-49C0-4441-AA9F-B524840DF6FF}"/>
    <cellStyle name="Normal 4 4 2 4 4 2 3" xfId="12376" xr:uid="{B423CF98-2D30-46DD-A9EF-909F4044D988}"/>
    <cellStyle name="Normal 4 4 2 4 4 2 4" xfId="20824" xr:uid="{2D1132B6-7CFF-4932-BB2F-43FDDFD4766B}"/>
    <cellStyle name="Normal 4 4 2 4 4 3" xfId="5999" xr:uid="{00000000-0005-0000-0000-00004A150000}"/>
    <cellStyle name="Normal 4 4 2 4 4 3 2" xfId="14449" xr:uid="{56F2C193-B8F2-49A0-8C87-0703CCF20D13}"/>
    <cellStyle name="Normal 4 4 2 4 4 3 3" xfId="22896" xr:uid="{2D5E8A5D-8502-4B8B-97DE-6E6F6325F8AA}"/>
    <cellStyle name="Normal 4 4 2 4 4 4" xfId="10231" xr:uid="{81747083-B555-4A09-B918-8063A1691BB0}"/>
    <cellStyle name="Normal 4 4 2 4 4 5" xfId="18679" xr:uid="{42B260DD-7922-4F21-80E6-A7D29ED634C9}"/>
    <cellStyle name="Normal 4 4 2 4 5" xfId="2106" xr:uid="{00000000-0005-0000-0000-00004B150000}"/>
    <cellStyle name="Normal 4 4 2 4 5 2" xfId="4335" xr:uid="{00000000-0005-0000-0000-00004C150000}"/>
    <cellStyle name="Normal 4 4 2 4 5 2 2" xfId="8557" xr:uid="{00000000-0005-0000-0000-00004D150000}"/>
    <cellStyle name="Normal 4 4 2 4 5 2 2 2" xfId="17007" xr:uid="{7D4D466C-339B-44C6-8A09-62421B4B0C07}"/>
    <cellStyle name="Normal 4 4 2 4 5 2 2 3" xfId="25454" xr:uid="{2A8788C1-235C-42DF-BBBF-1BB47B8F21F1}"/>
    <cellStyle name="Normal 4 4 2 4 5 2 3" xfId="12789" xr:uid="{C8E4072E-048A-49FB-ADDD-6300AE76896A}"/>
    <cellStyle name="Normal 4 4 2 4 5 2 4" xfId="21237" xr:uid="{8F61E84E-B204-41D2-8904-C8EDF5563487}"/>
    <cellStyle name="Normal 4 4 2 4 5 3" xfId="6412" xr:uid="{00000000-0005-0000-0000-00004E150000}"/>
    <cellStyle name="Normal 4 4 2 4 5 3 2" xfId="14862" xr:uid="{4AF09D0C-AE73-4514-97AB-D78E51682BDE}"/>
    <cellStyle name="Normal 4 4 2 4 5 3 3" xfId="23309" xr:uid="{BF286885-A276-4741-9881-B1C848C81D11}"/>
    <cellStyle name="Normal 4 4 2 4 5 4" xfId="10644" xr:uid="{9EBCE870-5728-4F2C-A3B5-844169FE0CA1}"/>
    <cellStyle name="Normal 4 4 2 4 5 5" xfId="19092" xr:uid="{C0C098F6-A246-49B9-85A5-CCE8A7A2D188}"/>
    <cellStyle name="Normal 4 4 2 4 6" xfId="2542" xr:uid="{00000000-0005-0000-0000-00004F150000}"/>
    <cellStyle name="Normal 4 4 2 4 6 2" xfId="6825" xr:uid="{00000000-0005-0000-0000-000050150000}"/>
    <cellStyle name="Normal 4 4 2 4 6 2 2" xfId="15275" xr:uid="{8B7BD3FA-2D6A-4C98-945A-E00802B237E3}"/>
    <cellStyle name="Normal 4 4 2 4 6 2 3" xfId="23722" xr:uid="{DB09C1FF-16CF-48EC-8967-B1970379C257}"/>
    <cellStyle name="Normal 4 4 2 4 6 3" xfId="11057" xr:uid="{4023D645-03E5-416D-A1AC-4EDD6A7C07D9}"/>
    <cellStyle name="Normal 4 4 2 4 6 4" xfId="19505" xr:uid="{9FAF989A-8061-41FD-BDEF-559B26174F1E}"/>
    <cellStyle name="Normal 4 4 2 4 7" xfId="4760" xr:uid="{00000000-0005-0000-0000-000051150000}"/>
    <cellStyle name="Normal 4 4 2 4 7 2" xfId="13210" xr:uid="{80F74DEF-017E-4117-A1A3-1034BA8CED23}"/>
    <cellStyle name="Normal 4 4 2 4 7 3" xfId="21657" xr:uid="{A5E6B838-7291-4283-BBC2-374021B67E40}"/>
    <cellStyle name="Normal 4 4 2 4 8" xfId="8992" xr:uid="{552739AA-C797-4B12-9237-70E3D3B4EB4E}"/>
    <cellStyle name="Normal 4 4 2 4 9" xfId="17440" xr:uid="{8B56B67A-2E12-4F32-80B6-D591FA8E0A78}"/>
    <cellStyle name="Normal 4 4 2 5" xfId="854" xr:uid="{00000000-0005-0000-0000-000052150000}"/>
    <cellStyle name="Normal 4 4 2 5 2" xfId="3089" xr:uid="{00000000-0005-0000-0000-000053150000}"/>
    <cellStyle name="Normal 4 4 2 5 2 2" xfId="7311" xr:uid="{00000000-0005-0000-0000-000054150000}"/>
    <cellStyle name="Normal 4 4 2 5 2 2 2" xfId="15761" xr:uid="{87720CE5-99AE-4271-B1A2-384842E7C432}"/>
    <cellStyle name="Normal 4 4 2 5 2 2 3" xfId="24208" xr:uid="{24EA810B-B6A8-467F-BD89-C46FF11F3C38}"/>
    <cellStyle name="Normal 4 4 2 5 2 3" xfId="11543" xr:uid="{9C8AA909-2616-4022-AB17-808BDAD9A988}"/>
    <cellStyle name="Normal 4 4 2 5 2 4" xfId="19991" xr:uid="{194569BA-8D98-4433-A281-7C3E2F50F924}"/>
    <cellStyle name="Normal 4 4 2 5 3" xfId="5166" xr:uid="{00000000-0005-0000-0000-000055150000}"/>
    <cellStyle name="Normal 4 4 2 5 3 2" xfId="13616" xr:uid="{DB19B0DF-EF79-4AA3-97F6-C54DAABA1D52}"/>
    <cellStyle name="Normal 4 4 2 5 3 3" xfId="22063" xr:uid="{280B7B84-57F0-4C51-A0D7-A53765E32F05}"/>
    <cellStyle name="Normal 4 4 2 5 4" xfId="9398" xr:uid="{4CC0536A-1DF0-4C17-8410-B897DEDD59B7}"/>
    <cellStyle name="Normal 4 4 2 5 5" xfId="17846" xr:uid="{53A42F9B-3B1B-4474-AD9B-9E78B1436B7E}"/>
    <cellStyle name="Normal 4 4 2 6" xfId="1272" xr:uid="{00000000-0005-0000-0000-000056150000}"/>
    <cellStyle name="Normal 4 4 2 6 2" xfId="3502" xr:uid="{00000000-0005-0000-0000-000057150000}"/>
    <cellStyle name="Normal 4 4 2 6 2 2" xfId="7724" xr:uid="{00000000-0005-0000-0000-000058150000}"/>
    <cellStyle name="Normal 4 4 2 6 2 2 2" xfId="16174" xr:uid="{B88AB923-D550-4DFE-B963-B12F15B7B2BD}"/>
    <cellStyle name="Normal 4 4 2 6 2 2 3" xfId="24621" xr:uid="{6CF83CE9-CA9C-4A60-B652-9C076EE01FFE}"/>
    <cellStyle name="Normal 4 4 2 6 2 3" xfId="11956" xr:uid="{BA8B7522-D368-4633-B797-F8D474CB5E38}"/>
    <cellStyle name="Normal 4 4 2 6 2 4" xfId="20404" xr:uid="{4ED044A9-1393-47E4-92A2-C8BBA2C5C011}"/>
    <cellStyle name="Normal 4 4 2 6 3" xfId="5579" xr:uid="{00000000-0005-0000-0000-000059150000}"/>
    <cellStyle name="Normal 4 4 2 6 3 2" xfId="14029" xr:uid="{7F4B28DA-536E-4BD1-B241-9CDB8FF71FDA}"/>
    <cellStyle name="Normal 4 4 2 6 3 3" xfId="22476" xr:uid="{AC6ABD9B-501A-4120-A149-CFAD547C7C7C}"/>
    <cellStyle name="Normal 4 4 2 6 4" xfId="9811" xr:uid="{17B7F20E-A473-4C3F-955D-A14C13605D81}"/>
    <cellStyle name="Normal 4 4 2 6 5" xfId="18259" xr:uid="{EC294AFD-82FE-4052-95C1-F4E840905CF9}"/>
    <cellStyle name="Normal 4 4 2 7" xfId="1685" xr:uid="{00000000-0005-0000-0000-00005A150000}"/>
    <cellStyle name="Normal 4 4 2 7 2" xfId="3915" xr:uid="{00000000-0005-0000-0000-00005B150000}"/>
    <cellStyle name="Normal 4 4 2 7 2 2" xfId="8137" xr:uid="{00000000-0005-0000-0000-00005C150000}"/>
    <cellStyle name="Normal 4 4 2 7 2 2 2" xfId="16587" xr:uid="{28AFDCC4-C501-4939-8110-A76936830529}"/>
    <cellStyle name="Normal 4 4 2 7 2 2 3" xfId="25034" xr:uid="{2B9B3270-DB8C-4F26-BE55-64F1C13611AA}"/>
    <cellStyle name="Normal 4 4 2 7 2 3" xfId="12369" xr:uid="{F6534103-032C-495A-8C35-30B5CE15B67C}"/>
    <cellStyle name="Normal 4 4 2 7 2 4" xfId="20817" xr:uid="{DEB1FD5F-2422-49F7-A574-049D73384171}"/>
    <cellStyle name="Normal 4 4 2 7 3" xfId="5992" xr:uid="{00000000-0005-0000-0000-00005D150000}"/>
    <cellStyle name="Normal 4 4 2 7 3 2" xfId="14442" xr:uid="{87F5827F-BD5E-40AC-ABD1-D1F5706EB59A}"/>
    <cellStyle name="Normal 4 4 2 7 3 3" xfId="22889" xr:uid="{28247236-E462-4D9F-B6DD-3218E2E07204}"/>
    <cellStyle name="Normal 4 4 2 7 4" xfId="10224" xr:uid="{C54E9F4C-6744-4DEB-B768-443DAA057611}"/>
    <cellStyle name="Normal 4 4 2 7 5" xfId="18672" xr:uid="{05615389-38FE-4429-88D0-A29EB4C1EB77}"/>
    <cellStyle name="Normal 4 4 2 8" xfId="2099" xr:uid="{00000000-0005-0000-0000-00005E150000}"/>
    <cellStyle name="Normal 4 4 2 8 2" xfId="4328" xr:uid="{00000000-0005-0000-0000-00005F150000}"/>
    <cellStyle name="Normal 4 4 2 8 2 2" xfId="8550" xr:uid="{00000000-0005-0000-0000-000060150000}"/>
    <cellStyle name="Normal 4 4 2 8 2 2 2" xfId="17000" xr:uid="{F3B7DCE3-A204-464E-914E-9F6C100049EA}"/>
    <cellStyle name="Normal 4 4 2 8 2 2 3" xfId="25447" xr:uid="{47784FE6-AF80-411A-90A8-A5362047752C}"/>
    <cellStyle name="Normal 4 4 2 8 2 3" xfId="12782" xr:uid="{1DC1CB71-32B8-44EC-A926-D664522FA0A9}"/>
    <cellStyle name="Normal 4 4 2 8 2 4" xfId="21230" xr:uid="{40F4E7EF-C392-41CB-8B23-E7ACE538BA01}"/>
    <cellStyle name="Normal 4 4 2 8 3" xfId="6405" xr:uid="{00000000-0005-0000-0000-000061150000}"/>
    <cellStyle name="Normal 4 4 2 8 3 2" xfId="14855" xr:uid="{DF49D38E-E26E-41CD-BF49-5AD1E89B803B}"/>
    <cellStyle name="Normal 4 4 2 8 3 3" xfId="23302" xr:uid="{503C1D8B-A5C4-4156-B45A-E93B0667F945}"/>
    <cellStyle name="Normal 4 4 2 8 4" xfId="10637" xr:uid="{C07C4E9A-48B6-45A2-BBD4-A973A3C95DA9}"/>
    <cellStyle name="Normal 4 4 2 8 5" xfId="19085" xr:uid="{747A755A-1ED3-4042-A660-0716F9103105}"/>
    <cellStyle name="Normal 4 4 2 9" xfId="2535" xr:uid="{00000000-0005-0000-0000-000062150000}"/>
    <cellStyle name="Normal 4 4 2 9 2" xfId="6818" xr:uid="{00000000-0005-0000-0000-000063150000}"/>
    <cellStyle name="Normal 4 4 2 9 2 2" xfId="15268" xr:uid="{77C10A5E-193B-47E6-8BE9-65DE543477C3}"/>
    <cellStyle name="Normal 4 4 2 9 2 3" xfId="23715" xr:uid="{C18CC390-EA3D-4CB5-85DB-6D3FEFA71D8C}"/>
    <cellStyle name="Normal 4 4 2 9 3" xfId="11050" xr:uid="{4614F514-096D-41C4-BDE9-89642DAE6468}"/>
    <cellStyle name="Normal 4 4 2 9 4" xfId="19498" xr:uid="{360A5062-93DD-4647-9FE5-710E6E441D59}"/>
    <cellStyle name="Normal 4 4 3" xfId="387" xr:uid="{00000000-0005-0000-0000-000064150000}"/>
    <cellStyle name="Normal 4 4 3 10" xfId="8993" xr:uid="{18D6747A-17AA-4603-AB95-3A340FBF19D4}"/>
    <cellStyle name="Normal 4 4 3 11" xfId="17441" xr:uid="{CA2FB9C5-2F77-43DB-B905-7EF4B911DB8F}"/>
    <cellStyle name="Normal 4 4 3 2" xfId="388" xr:uid="{00000000-0005-0000-0000-000065150000}"/>
    <cellStyle name="Normal 4 4 3 2 10" xfId="17442" xr:uid="{F29A89BE-AE34-4D39-B49C-636E89A89D06}"/>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2 2 2" xfId="15771" xr:uid="{6192D76B-568C-4B4E-8DEB-6D758F65B461}"/>
    <cellStyle name="Normal 4 4 3 2 2 2 2 2 3" xfId="24218" xr:uid="{B2364FA2-B062-46AE-96E8-C63FEB976500}"/>
    <cellStyle name="Normal 4 4 3 2 2 2 2 3" xfId="11553" xr:uid="{9DB45C9C-8FCB-4659-81AB-757C63C7BC46}"/>
    <cellStyle name="Normal 4 4 3 2 2 2 2 4" xfId="20001" xr:uid="{2CD54E5D-C994-4078-862D-584FC6127247}"/>
    <cellStyle name="Normal 4 4 3 2 2 2 3" xfId="5176" xr:uid="{00000000-0005-0000-0000-00006A150000}"/>
    <cellStyle name="Normal 4 4 3 2 2 2 3 2" xfId="13626" xr:uid="{7661F379-D97C-4686-9065-938F19E9DE52}"/>
    <cellStyle name="Normal 4 4 3 2 2 2 3 3" xfId="22073" xr:uid="{F754D4A1-F62A-4485-A568-A34CF89059F5}"/>
    <cellStyle name="Normal 4 4 3 2 2 2 4" xfId="9408" xr:uid="{7B7DEC17-E16A-4672-9641-FB1CCEEB0ED5}"/>
    <cellStyle name="Normal 4 4 3 2 2 2 5" xfId="17856" xr:uid="{FC9524CB-E5D7-4705-8843-3519FC4A5534}"/>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2 2 2" xfId="16184" xr:uid="{549242DC-A8D0-4D4D-B54E-0DFCC4E2DB2B}"/>
    <cellStyle name="Normal 4 4 3 2 2 3 2 2 3" xfId="24631" xr:uid="{A233B4A1-3155-4C52-8A6B-E45AE9795410}"/>
    <cellStyle name="Normal 4 4 3 2 2 3 2 3" xfId="11966" xr:uid="{4A8EB13F-D7D0-478E-BA9D-892D0E69B4D1}"/>
    <cellStyle name="Normal 4 4 3 2 2 3 2 4" xfId="20414" xr:uid="{C590753B-E10B-4E7E-9214-7D13027291BD}"/>
    <cellStyle name="Normal 4 4 3 2 2 3 3" xfId="5589" xr:uid="{00000000-0005-0000-0000-00006E150000}"/>
    <cellStyle name="Normal 4 4 3 2 2 3 3 2" xfId="14039" xr:uid="{6BFF833C-5BA1-43E5-981C-C0CD26D2E06D}"/>
    <cellStyle name="Normal 4 4 3 2 2 3 3 3" xfId="22486" xr:uid="{BA73B372-0812-47F3-8C24-F90FA5B4E277}"/>
    <cellStyle name="Normal 4 4 3 2 2 3 4" xfId="9821" xr:uid="{24914B0F-3BA0-41B7-B573-0030990F8DA8}"/>
    <cellStyle name="Normal 4 4 3 2 2 3 5" xfId="18269" xr:uid="{3673DD1C-EA36-4EA2-9BAF-22E50BE15787}"/>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2 2 2" xfId="16597" xr:uid="{4589F040-2E47-400C-BC19-9A6883D49A5B}"/>
    <cellStyle name="Normal 4 4 3 2 2 4 2 2 3" xfId="25044" xr:uid="{34FA2D47-0082-4C8F-AA3A-8A4EC5643614}"/>
    <cellStyle name="Normal 4 4 3 2 2 4 2 3" xfId="12379" xr:uid="{80F779A3-8F7B-4978-9F43-A9CBCD732A72}"/>
    <cellStyle name="Normal 4 4 3 2 2 4 2 4" xfId="20827" xr:uid="{77C727AA-D15A-4B5F-9F6D-BD1EC97BF5B4}"/>
    <cellStyle name="Normal 4 4 3 2 2 4 3" xfId="6002" xr:uid="{00000000-0005-0000-0000-000072150000}"/>
    <cellStyle name="Normal 4 4 3 2 2 4 3 2" xfId="14452" xr:uid="{19FB16AF-0A02-4B9B-A92A-BAEAB1082DF1}"/>
    <cellStyle name="Normal 4 4 3 2 2 4 3 3" xfId="22899" xr:uid="{0B74044D-3636-40FA-BB4D-A18CED85BF03}"/>
    <cellStyle name="Normal 4 4 3 2 2 4 4" xfId="10234" xr:uid="{2016580E-3BA8-4716-A70C-BAD4724540EE}"/>
    <cellStyle name="Normal 4 4 3 2 2 4 5" xfId="18682" xr:uid="{68FF4376-E34F-4A5C-8068-D6ED6872307B}"/>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2 2 2" xfId="17010" xr:uid="{520BFDB0-8FEB-4D7D-A2CA-8F045B1C4F4B}"/>
    <cellStyle name="Normal 4 4 3 2 2 5 2 2 3" xfId="25457" xr:uid="{648901D5-80DF-4C06-8B13-0FC1C4CF89F3}"/>
    <cellStyle name="Normal 4 4 3 2 2 5 2 3" xfId="12792" xr:uid="{C0D9EEE8-48AA-4604-804C-0C0FF79B1C91}"/>
    <cellStyle name="Normal 4 4 3 2 2 5 2 4" xfId="21240" xr:uid="{AB99529F-C571-49BE-AF0E-EB679568C030}"/>
    <cellStyle name="Normal 4 4 3 2 2 5 3" xfId="6415" xr:uid="{00000000-0005-0000-0000-000076150000}"/>
    <cellStyle name="Normal 4 4 3 2 2 5 3 2" xfId="14865" xr:uid="{EE176299-F40B-4F32-9A57-BC9CED5EEAF6}"/>
    <cellStyle name="Normal 4 4 3 2 2 5 3 3" xfId="23312" xr:uid="{2767C051-9132-4F1F-811F-090EDC92804A}"/>
    <cellStyle name="Normal 4 4 3 2 2 5 4" xfId="10647" xr:uid="{667EAD98-2BF3-4A4B-869F-56EE795F46B9}"/>
    <cellStyle name="Normal 4 4 3 2 2 5 5" xfId="19095" xr:uid="{57CE8C28-E6B2-4400-BF63-F883134C186C}"/>
    <cellStyle name="Normal 4 4 3 2 2 6" xfId="2545" xr:uid="{00000000-0005-0000-0000-000077150000}"/>
    <cellStyle name="Normal 4 4 3 2 2 6 2" xfId="6828" xr:uid="{00000000-0005-0000-0000-000078150000}"/>
    <cellStyle name="Normal 4 4 3 2 2 6 2 2" xfId="15278" xr:uid="{0CFDBF7E-685C-4BB6-825E-341EA3CD124E}"/>
    <cellStyle name="Normal 4 4 3 2 2 6 2 3" xfId="23725" xr:uid="{55789F87-EFF5-46A6-ADFC-840DB12AA551}"/>
    <cellStyle name="Normal 4 4 3 2 2 6 3" xfId="11060" xr:uid="{DD70DF51-B7A3-417A-935C-F94D277C5316}"/>
    <cellStyle name="Normal 4 4 3 2 2 6 4" xfId="19508" xr:uid="{CA0E70D8-6BAE-4BD8-9AB0-975539F81A56}"/>
    <cellStyle name="Normal 4 4 3 2 2 7" xfId="4763" xr:uid="{00000000-0005-0000-0000-000079150000}"/>
    <cellStyle name="Normal 4 4 3 2 2 7 2" xfId="13213" xr:uid="{0A2586F1-212D-45D3-A6E1-8F949057AEC5}"/>
    <cellStyle name="Normal 4 4 3 2 2 7 3" xfId="21660" xr:uid="{60D93FDB-7A99-431B-8308-37EF4FF45BB1}"/>
    <cellStyle name="Normal 4 4 3 2 2 8" xfId="8995" xr:uid="{BC6CFA1F-01F7-487B-9239-E55B3370F10F}"/>
    <cellStyle name="Normal 4 4 3 2 2 9" xfId="17443" xr:uid="{C1E4AF5D-83AF-4A66-B976-D8D73525B2FB}"/>
    <cellStyle name="Normal 4 4 3 2 3" xfId="863" xr:uid="{00000000-0005-0000-0000-00007A150000}"/>
    <cellStyle name="Normal 4 4 3 2 3 2" xfId="3098" xr:uid="{00000000-0005-0000-0000-00007B150000}"/>
    <cellStyle name="Normal 4 4 3 2 3 2 2" xfId="7320" xr:uid="{00000000-0005-0000-0000-00007C150000}"/>
    <cellStyle name="Normal 4 4 3 2 3 2 2 2" xfId="15770" xr:uid="{062C2164-D312-4509-9BDD-B8C97E07F5C1}"/>
    <cellStyle name="Normal 4 4 3 2 3 2 2 3" xfId="24217" xr:uid="{17CCC50C-9CE1-41EA-8989-639D121079D3}"/>
    <cellStyle name="Normal 4 4 3 2 3 2 3" xfId="11552" xr:uid="{068A2431-7306-44E6-82B2-D9CC06E678C1}"/>
    <cellStyle name="Normal 4 4 3 2 3 2 4" xfId="20000" xr:uid="{0A71E4C2-D600-4A78-949F-6EAC0204AFF4}"/>
    <cellStyle name="Normal 4 4 3 2 3 3" xfId="5175" xr:uid="{00000000-0005-0000-0000-00007D150000}"/>
    <cellStyle name="Normal 4 4 3 2 3 3 2" xfId="13625" xr:uid="{4C590BC4-97DC-4B66-8E00-8BEE9C39264E}"/>
    <cellStyle name="Normal 4 4 3 2 3 3 3" xfId="22072" xr:uid="{49B13A1A-0F32-4DC0-8B69-98C9231492BC}"/>
    <cellStyle name="Normal 4 4 3 2 3 4" xfId="9407" xr:uid="{D0BB4AE0-3EEB-42D9-A496-85672DC4621E}"/>
    <cellStyle name="Normal 4 4 3 2 3 5" xfId="17855" xr:uid="{991F4804-EB87-435D-B9C3-4CF43F56DD0E}"/>
    <cellStyle name="Normal 4 4 3 2 4" xfId="1281" xr:uid="{00000000-0005-0000-0000-00007E150000}"/>
    <cellStyle name="Normal 4 4 3 2 4 2" xfId="3511" xr:uid="{00000000-0005-0000-0000-00007F150000}"/>
    <cellStyle name="Normal 4 4 3 2 4 2 2" xfId="7733" xr:uid="{00000000-0005-0000-0000-000080150000}"/>
    <cellStyle name="Normal 4 4 3 2 4 2 2 2" xfId="16183" xr:uid="{0B3C7AD1-740C-4AA9-93B3-D52674FDBC0C}"/>
    <cellStyle name="Normal 4 4 3 2 4 2 2 3" xfId="24630" xr:uid="{BE9721D8-3631-4526-ACE2-1069D5DF915B}"/>
    <cellStyle name="Normal 4 4 3 2 4 2 3" xfId="11965" xr:uid="{D8123F16-BCE5-4138-AF33-A76B4445DD0F}"/>
    <cellStyle name="Normal 4 4 3 2 4 2 4" xfId="20413" xr:uid="{62637EE9-3B54-4F94-BA78-D7B971B943C5}"/>
    <cellStyle name="Normal 4 4 3 2 4 3" xfId="5588" xr:uid="{00000000-0005-0000-0000-000081150000}"/>
    <cellStyle name="Normal 4 4 3 2 4 3 2" xfId="14038" xr:uid="{9F0E0223-8EFA-4386-BD89-CF6C317C6097}"/>
    <cellStyle name="Normal 4 4 3 2 4 3 3" xfId="22485" xr:uid="{05EC461F-1599-4CF3-9F65-B7F80685860D}"/>
    <cellStyle name="Normal 4 4 3 2 4 4" xfId="9820" xr:uid="{892BD72A-B932-4877-8D54-D90686E97B91}"/>
    <cellStyle name="Normal 4 4 3 2 4 5" xfId="18268" xr:uid="{4E4AE4C0-1888-4EAE-87B7-E63853AD3375}"/>
    <cellStyle name="Normal 4 4 3 2 5" xfId="1694" xr:uid="{00000000-0005-0000-0000-000082150000}"/>
    <cellStyle name="Normal 4 4 3 2 5 2" xfId="3924" xr:uid="{00000000-0005-0000-0000-000083150000}"/>
    <cellStyle name="Normal 4 4 3 2 5 2 2" xfId="8146" xr:uid="{00000000-0005-0000-0000-000084150000}"/>
    <cellStyle name="Normal 4 4 3 2 5 2 2 2" xfId="16596" xr:uid="{3491B642-8D8A-4A69-8F9E-7582066DE750}"/>
    <cellStyle name="Normal 4 4 3 2 5 2 2 3" xfId="25043" xr:uid="{51528CB8-88F2-4B1A-AFBE-93C1479BF600}"/>
    <cellStyle name="Normal 4 4 3 2 5 2 3" xfId="12378" xr:uid="{07B60E84-E7E9-4169-BF98-7227C77009F7}"/>
    <cellStyle name="Normal 4 4 3 2 5 2 4" xfId="20826" xr:uid="{CCA9BD5E-28C7-4601-B80A-3DD96501A639}"/>
    <cellStyle name="Normal 4 4 3 2 5 3" xfId="6001" xr:uid="{00000000-0005-0000-0000-000085150000}"/>
    <cellStyle name="Normal 4 4 3 2 5 3 2" xfId="14451" xr:uid="{F33C27E6-5BFC-4743-8E2D-3F57BD0332CD}"/>
    <cellStyle name="Normal 4 4 3 2 5 3 3" xfId="22898" xr:uid="{9A2EC2A5-3AE2-493C-965C-61DCF89483D3}"/>
    <cellStyle name="Normal 4 4 3 2 5 4" xfId="10233" xr:uid="{4B76A6A0-3ECF-4ECA-B6F1-BF5FFB88D4B1}"/>
    <cellStyle name="Normal 4 4 3 2 5 5" xfId="18681" xr:uid="{C289D37D-A77E-4055-9ADD-38461DD5D2D0}"/>
    <cellStyle name="Normal 4 4 3 2 6" xfId="2108" xr:uid="{00000000-0005-0000-0000-000086150000}"/>
    <cellStyle name="Normal 4 4 3 2 6 2" xfId="4337" xr:uid="{00000000-0005-0000-0000-000087150000}"/>
    <cellStyle name="Normal 4 4 3 2 6 2 2" xfId="8559" xr:uid="{00000000-0005-0000-0000-000088150000}"/>
    <cellStyle name="Normal 4 4 3 2 6 2 2 2" xfId="17009" xr:uid="{0A2F1CC0-B60A-4BE0-87DC-2B8EAE27D4D6}"/>
    <cellStyle name="Normal 4 4 3 2 6 2 2 3" xfId="25456" xr:uid="{4B9837BF-B3E2-4C1D-91E6-EB869D40EB9B}"/>
    <cellStyle name="Normal 4 4 3 2 6 2 3" xfId="12791" xr:uid="{EC6AA233-C051-485D-B409-CD8E09C811FA}"/>
    <cellStyle name="Normal 4 4 3 2 6 2 4" xfId="21239" xr:uid="{7872F260-1C83-4286-8F06-761AE2E877D3}"/>
    <cellStyle name="Normal 4 4 3 2 6 3" xfId="6414" xr:uid="{00000000-0005-0000-0000-000089150000}"/>
    <cellStyle name="Normal 4 4 3 2 6 3 2" xfId="14864" xr:uid="{3D207867-56D8-49B1-BEB6-424057EC4D5A}"/>
    <cellStyle name="Normal 4 4 3 2 6 3 3" xfId="23311" xr:uid="{C8B99C6B-5178-4407-88CC-4466258DC6F7}"/>
    <cellStyle name="Normal 4 4 3 2 6 4" xfId="10646" xr:uid="{1DFEB793-8ACA-4852-B8BF-274D6F20A9E4}"/>
    <cellStyle name="Normal 4 4 3 2 6 5" xfId="19094" xr:uid="{9334DD49-ABEF-4BBE-B2EE-07670CEF7399}"/>
    <cellStyle name="Normal 4 4 3 2 7" xfId="2544" xr:uid="{00000000-0005-0000-0000-00008A150000}"/>
    <cellStyle name="Normal 4 4 3 2 7 2" xfId="6827" xr:uid="{00000000-0005-0000-0000-00008B150000}"/>
    <cellStyle name="Normal 4 4 3 2 7 2 2" xfId="15277" xr:uid="{9030191A-DFB5-4FC4-BB3E-669E595C58B2}"/>
    <cellStyle name="Normal 4 4 3 2 7 2 3" xfId="23724" xr:uid="{F20E3D6F-A237-470C-980F-F35B8534AB05}"/>
    <cellStyle name="Normal 4 4 3 2 7 3" xfId="11059" xr:uid="{3480042D-350B-428E-8213-77D13C93B971}"/>
    <cellStyle name="Normal 4 4 3 2 7 4" xfId="19507" xr:uid="{86DAF62A-3FA2-4845-B868-91DDAB401F14}"/>
    <cellStyle name="Normal 4 4 3 2 8" xfId="4762" xr:uid="{00000000-0005-0000-0000-00008C150000}"/>
    <cellStyle name="Normal 4 4 3 2 8 2" xfId="13212" xr:uid="{AC356E19-08D7-4657-B033-FC0BC2C40BDA}"/>
    <cellStyle name="Normal 4 4 3 2 8 3" xfId="21659" xr:uid="{FDC12972-B92A-467F-B371-97BA433236D6}"/>
    <cellStyle name="Normal 4 4 3 2 9" xfId="8994" xr:uid="{316400E1-2DF3-4EDB-9C76-8BA372D4DDB4}"/>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2 2 2" xfId="15772" xr:uid="{28CCDA67-B45E-4232-A292-532898D2CB7C}"/>
    <cellStyle name="Normal 4 4 3 3 2 2 2 3" xfId="24219" xr:uid="{A52E1D40-A19C-4919-8EF4-749A376F21C1}"/>
    <cellStyle name="Normal 4 4 3 3 2 2 3" xfId="11554" xr:uid="{B2DAFBD3-1A28-402E-A80C-5C9DC7093908}"/>
    <cellStyle name="Normal 4 4 3 3 2 2 4" xfId="20002" xr:uid="{46A33521-4E64-4ECC-8DA6-88E38A9AE88D}"/>
    <cellStyle name="Normal 4 4 3 3 2 3" xfId="5177" xr:uid="{00000000-0005-0000-0000-000091150000}"/>
    <cellStyle name="Normal 4 4 3 3 2 3 2" xfId="13627" xr:uid="{519B7B7E-BEB6-409D-AB90-B925E532F1A1}"/>
    <cellStyle name="Normal 4 4 3 3 2 3 3" xfId="22074" xr:uid="{96EC1EC6-EDB7-4003-BE6F-0EFB46D15381}"/>
    <cellStyle name="Normal 4 4 3 3 2 4" xfId="9409" xr:uid="{227737D9-3ADC-44A8-AE09-29EA4999E624}"/>
    <cellStyle name="Normal 4 4 3 3 2 5" xfId="17857" xr:uid="{F14C2637-DBE9-4C74-909C-F07C91B68D2D}"/>
    <cellStyle name="Normal 4 4 3 3 3" xfId="1283" xr:uid="{00000000-0005-0000-0000-000092150000}"/>
    <cellStyle name="Normal 4 4 3 3 3 2" xfId="3513" xr:uid="{00000000-0005-0000-0000-000093150000}"/>
    <cellStyle name="Normal 4 4 3 3 3 2 2" xfId="7735" xr:uid="{00000000-0005-0000-0000-000094150000}"/>
    <cellStyle name="Normal 4 4 3 3 3 2 2 2" xfId="16185" xr:uid="{29B99CCE-7F41-4E35-A33A-65315944B3CD}"/>
    <cellStyle name="Normal 4 4 3 3 3 2 2 3" xfId="24632" xr:uid="{06AA9EA1-4CD4-4806-B524-B2D542721131}"/>
    <cellStyle name="Normal 4 4 3 3 3 2 3" xfId="11967" xr:uid="{ACCF3DD7-50B4-49FD-92CE-8F70D6C20C25}"/>
    <cellStyle name="Normal 4 4 3 3 3 2 4" xfId="20415" xr:uid="{D001A04D-307B-4495-B987-7D1182943273}"/>
    <cellStyle name="Normal 4 4 3 3 3 3" xfId="5590" xr:uid="{00000000-0005-0000-0000-000095150000}"/>
    <cellStyle name="Normal 4 4 3 3 3 3 2" xfId="14040" xr:uid="{B929CD2F-9B4D-491B-A2E4-4BC16C49F13D}"/>
    <cellStyle name="Normal 4 4 3 3 3 3 3" xfId="22487" xr:uid="{2C851512-F266-4294-86FA-DE28A4F7DC23}"/>
    <cellStyle name="Normal 4 4 3 3 3 4" xfId="9822" xr:uid="{A40A5BEA-6351-4C4C-A0AC-68828D09590D}"/>
    <cellStyle name="Normal 4 4 3 3 3 5" xfId="18270" xr:uid="{26192125-2B15-4DDC-9762-98ED10B90F7B}"/>
    <cellStyle name="Normal 4 4 3 3 4" xfId="1696" xr:uid="{00000000-0005-0000-0000-000096150000}"/>
    <cellStyle name="Normal 4 4 3 3 4 2" xfId="3926" xr:uid="{00000000-0005-0000-0000-000097150000}"/>
    <cellStyle name="Normal 4 4 3 3 4 2 2" xfId="8148" xr:uid="{00000000-0005-0000-0000-000098150000}"/>
    <cellStyle name="Normal 4 4 3 3 4 2 2 2" xfId="16598" xr:uid="{2A1659FC-7E98-49CF-9F6A-669FCB320959}"/>
    <cellStyle name="Normal 4 4 3 3 4 2 2 3" xfId="25045" xr:uid="{FF8F04C2-C773-4963-A73D-2B15B3C9DB9B}"/>
    <cellStyle name="Normal 4 4 3 3 4 2 3" xfId="12380" xr:uid="{0196E09F-2AD7-45E8-BB33-393102B1FDE8}"/>
    <cellStyle name="Normal 4 4 3 3 4 2 4" xfId="20828" xr:uid="{2A0A5CCB-220A-46DE-9A45-D0CA8B9AB1C3}"/>
    <cellStyle name="Normal 4 4 3 3 4 3" xfId="6003" xr:uid="{00000000-0005-0000-0000-000099150000}"/>
    <cellStyle name="Normal 4 4 3 3 4 3 2" xfId="14453" xr:uid="{973B7ADD-6283-4357-B30C-4875A2A8F8CE}"/>
    <cellStyle name="Normal 4 4 3 3 4 3 3" xfId="22900" xr:uid="{804F0EFC-6D60-4FC4-B80B-C66B77402A3B}"/>
    <cellStyle name="Normal 4 4 3 3 4 4" xfId="10235" xr:uid="{9EC8FDDD-AA15-49BD-91C7-67DD5BEB3E10}"/>
    <cellStyle name="Normal 4 4 3 3 4 5" xfId="18683" xr:uid="{AFB41027-D695-4572-B037-850711B42000}"/>
    <cellStyle name="Normal 4 4 3 3 5" xfId="2110" xr:uid="{00000000-0005-0000-0000-00009A150000}"/>
    <cellStyle name="Normal 4 4 3 3 5 2" xfId="4339" xr:uid="{00000000-0005-0000-0000-00009B150000}"/>
    <cellStyle name="Normal 4 4 3 3 5 2 2" xfId="8561" xr:uid="{00000000-0005-0000-0000-00009C150000}"/>
    <cellStyle name="Normal 4 4 3 3 5 2 2 2" xfId="17011" xr:uid="{7A1E03A2-9633-4CB0-BA7E-0CE35BDEADD1}"/>
    <cellStyle name="Normal 4 4 3 3 5 2 2 3" xfId="25458" xr:uid="{F7CD3C8C-B2E6-402A-9BC1-284B1596B652}"/>
    <cellStyle name="Normal 4 4 3 3 5 2 3" xfId="12793" xr:uid="{AB558A36-AED9-496A-8FB3-061CB6E49D06}"/>
    <cellStyle name="Normal 4 4 3 3 5 2 4" xfId="21241" xr:uid="{DF95D462-D3C0-490F-89CE-3CA3A4746C19}"/>
    <cellStyle name="Normal 4 4 3 3 5 3" xfId="6416" xr:uid="{00000000-0005-0000-0000-00009D150000}"/>
    <cellStyle name="Normal 4 4 3 3 5 3 2" xfId="14866" xr:uid="{137F9895-DE39-4AA9-B24A-4A80E932D1F7}"/>
    <cellStyle name="Normal 4 4 3 3 5 3 3" xfId="23313" xr:uid="{CDEE0D32-F7FA-4788-9316-0C83B23FA26C}"/>
    <cellStyle name="Normal 4 4 3 3 5 4" xfId="10648" xr:uid="{00397B37-67A9-4023-B317-0125F66CCD53}"/>
    <cellStyle name="Normal 4 4 3 3 5 5" xfId="19096" xr:uid="{E9301110-F3EB-4400-8B13-80D04372ABA2}"/>
    <cellStyle name="Normal 4 4 3 3 6" xfId="2546" xr:uid="{00000000-0005-0000-0000-00009E150000}"/>
    <cellStyle name="Normal 4 4 3 3 6 2" xfId="6829" xr:uid="{00000000-0005-0000-0000-00009F150000}"/>
    <cellStyle name="Normal 4 4 3 3 6 2 2" xfId="15279" xr:uid="{87EC9186-00D9-481B-A629-988457D39E7D}"/>
    <cellStyle name="Normal 4 4 3 3 6 2 3" xfId="23726" xr:uid="{CD4FF6D6-FA46-4C52-AC6A-1328557743C8}"/>
    <cellStyle name="Normal 4 4 3 3 6 3" xfId="11061" xr:uid="{FBEB13F7-E484-48DB-B687-F341F9EDAEF3}"/>
    <cellStyle name="Normal 4 4 3 3 6 4" xfId="19509" xr:uid="{846AB61B-BDC3-4480-8567-A1D2BFA67438}"/>
    <cellStyle name="Normal 4 4 3 3 7" xfId="4764" xr:uid="{00000000-0005-0000-0000-0000A0150000}"/>
    <cellStyle name="Normal 4 4 3 3 7 2" xfId="13214" xr:uid="{BA7FB2B2-22BB-468D-BA6B-85A66218B10D}"/>
    <cellStyle name="Normal 4 4 3 3 7 3" xfId="21661" xr:uid="{5D5B9C49-2E08-4170-9630-07D52E90D703}"/>
    <cellStyle name="Normal 4 4 3 3 8" xfId="8996" xr:uid="{7375995E-895A-4A93-B85A-F1A65CCD09DE}"/>
    <cellStyle name="Normal 4 4 3 3 9" xfId="17444" xr:uid="{65942E6B-D38D-42F5-AEEC-191C8D90DEA1}"/>
    <cellStyle name="Normal 4 4 3 4" xfId="862" xr:uid="{00000000-0005-0000-0000-0000A1150000}"/>
    <cellStyle name="Normal 4 4 3 4 2" xfId="3097" xr:uid="{00000000-0005-0000-0000-0000A2150000}"/>
    <cellStyle name="Normal 4 4 3 4 2 2" xfId="7319" xr:uid="{00000000-0005-0000-0000-0000A3150000}"/>
    <cellStyle name="Normal 4 4 3 4 2 2 2" xfId="15769" xr:uid="{E867614A-4E0B-49C7-95DD-203B97027D6F}"/>
    <cellStyle name="Normal 4 4 3 4 2 2 3" xfId="24216" xr:uid="{407181C4-4A42-4EE2-B382-21798875AF52}"/>
    <cellStyle name="Normal 4 4 3 4 2 3" xfId="11551" xr:uid="{1974AD8B-4DE4-4C53-922E-5E4D59A4D3FD}"/>
    <cellStyle name="Normal 4 4 3 4 2 4" xfId="19999" xr:uid="{7672241F-AF42-42F0-8E6A-759B2F10089E}"/>
    <cellStyle name="Normal 4 4 3 4 3" xfId="5174" xr:uid="{00000000-0005-0000-0000-0000A4150000}"/>
    <cellStyle name="Normal 4 4 3 4 3 2" xfId="13624" xr:uid="{3E5343D8-345B-44B3-A599-61923706F833}"/>
    <cellStyle name="Normal 4 4 3 4 3 3" xfId="22071" xr:uid="{EBEF0D91-5741-4D78-B395-B837CB27ED69}"/>
    <cellStyle name="Normal 4 4 3 4 4" xfId="9406" xr:uid="{62BAC633-1019-4D55-9421-A39222A1EC60}"/>
    <cellStyle name="Normal 4 4 3 4 5" xfId="17854" xr:uid="{CF161698-CDE9-4531-958F-FED3BACB67A0}"/>
    <cellStyle name="Normal 4 4 3 5" xfId="1280" xr:uid="{00000000-0005-0000-0000-0000A5150000}"/>
    <cellStyle name="Normal 4 4 3 5 2" xfId="3510" xr:uid="{00000000-0005-0000-0000-0000A6150000}"/>
    <cellStyle name="Normal 4 4 3 5 2 2" xfId="7732" xr:uid="{00000000-0005-0000-0000-0000A7150000}"/>
    <cellStyle name="Normal 4 4 3 5 2 2 2" xfId="16182" xr:uid="{7FF529C1-5E65-49F2-9AC8-A0657C229EFC}"/>
    <cellStyle name="Normal 4 4 3 5 2 2 3" xfId="24629" xr:uid="{71CD1BA8-C6EF-401D-8314-1E3CEB167777}"/>
    <cellStyle name="Normal 4 4 3 5 2 3" xfId="11964" xr:uid="{997DC582-FBB6-4219-8E58-DDC598F48FFA}"/>
    <cellStyle name="Normal 4 4 3 5 2 4" xfId="20412" xr:uid="{1CD403B4-E245-48BC-B1BD-7767AFDC7FB6}"/>
    <cellStyle name="Normal 4 4 3 5 3" xfId="5587" xr:uid="{00000000-0005-0000-0000-0000A8150000}"/>
    <cellStyle name="Normal 4 4 3 5 3 2" xfId="14037" xr:uid="{B0805501-5152-4018-9792-F6ACD5F05565}"/>
    <cellStyle name="Normal 4 4 3 5 3 3" xfId="22484" xr:uid="{71468171-401F-4373-8C35-70CCA1517E3B}"/>
    <cellStyle name="Normal 4 4 3 5 4" xfId="9819" xr:uid="{E21F463F-49C2-44C0-93A7-B05DAC31A9FC}"/>
    <cellStyle name="Normal 4 4 3 5 5" xfId="18267" xr:uid="{7AB5CD54-7C6D-498E-8D59-32B575A8C010}"/>
    <cellStyle name="Normal 4 4 3 6" xfId="1693" xr:uid="{00000000-0005-0000-0000-0000A9150000}"/>
    <cellStyle name="Normal 4 4 3 6 2" xfId="3923" xr:uid="{00000000-0005-0000-0000-0000AA150000}"/>
    <cellStyle name="Normal 4 4 3 6 2 2" xfId="8145" xr:uid="{00000000-0005-0000-0000-0000AB150000}"/>
    <cellStyle name="Normal 4 4 3 6 2 2 2" xfId="16595" xr:uid="{F70F83CE-389F-49A9-9D18-3B5B9230EACF}"/>
    <cellStyle name="Normal 4 4 3 6 2 2 3" xfId="25042" xr:uid="{CE0C1DB4-D3E0-4363-8C97-3A814C4B6D87}"/>
    <cellStyle name="Normal 4 4 3 6 2 3" xfId="12377" xr:uid="{14AE02F2-E587-497D-B8C0-02A5E85CCD7F}"/>
    <cellStyle name="Normal 4 4 3 6 2 4" xfId="20825" xr:uid="{CCD47AE2-FD9E-4249-A474-6F7435A02326}"/>
    <cellStyle name="Normal 4 4 3 6 3" xfId="6000" xr:uid="{00000000-0005-0000-0000-0000AC150000}"/>
    <cellStyle name="Normal 4 4 3 6 3 2" xfId="14450" xr:uid="{16CAD6CD-924B-4EFA-8FDE-28BF433DFFB0}"/>
    <cellStyle name="Normal 4 4 3 6 3 3" xfId="22897" xr:uid="{DD706BAC-AD83-4D9D-BFAA-0D5F88DA7F33}"/>
    <cellStyle name="Normal 4 4 3 6 4" xfId="10232" xr:uid="{30FF94F0-285D-400B-8DB8-8C6DFCBC1F3A}"/>
    <cellStyle name="Normal 4 4 3 6 5" xfId="18680" xr:uid="{A26AE112-45D3-42EE-AEC4-22837BEE5F70}"/>
    <cellStyle name="Normal 4 4 3 7" xfId="2107" xr:uid="{00000000-0005-0000-0000-0000AD150000}"/>
    <cellStyle name="Normal 4 4 3 7 2" xfId="4336" xr:uid="{00000000-0005-0000-0000-0000AE150000}"/>
    <cellStyle name="Normal 4 4 3 7 2 2" xfId="8558" xr:uid="{00000000-0005-0000-0000-0000AF150000}"/>
    <cellStyle name="Normal 4 4 3 7 2 2 2" xfId="17008" xr:uid="{D03E25D4-F7FE-4E08-A224-3745452C56F4}"/>
    <cellStyle name="Normal 4 4 3 7 2 2 3" xfId="25455" xr:uid="{242094CC-6E62-4FF1-B33E-7AFA95ABB482}"/>
    <cellStyle name="Normal 4 4 3 7 2 3" xfId="12790" xr:uid="{E1CA80F9-A34D-44E5-B2BD-79FA2A3C1887}"/>
    <cellStyle name="Normal 4 4 3 7 2 4" xfId="21238" xr:uid="{648FAA12-D1F4-456C-88DE-38C3376B6E7B}"/>
    <cellStyle name="Normal 4 4 3 7 3" xfId="6413" xr:uid="{00000000-0005-0000-0000-0000B0150000}"/>
    <cellStyle name="Normal 4 4 3 7 3 2" xfId="14863" xr:uid="{4F04962A-8B95-42B5-94BA-53D0CC80F362}"/>
    <cellStyle name="Normal 4 4 3 7 3 3" xfId="23310" xr:uid="{AA28DB31-B1F0-47EC-96B5-70A7FFD6832F}"/>
    <cellStyle name="Normal 4 4 3 7 4" xfId="10645" xr:uid="{393CCAC9-B51D-4709-A85F-401BE5553094}"/>
    <cellStyle name="Normal 4 4 3 7 5" xfId="19093" xr:uid="{49A5D2D4-EFD5-4B7A-A48D-88E57A8B1DBD}"/>
    <cellStyle name="Normal 4 4 3 8" xfId="2543" xr:uid="{00000000-0005-0000-0000-0000B1150000}"/>
    <cellStyle name="Normal 4 4 3 8 2" xfId="6826" xr:uid="{00000000-0005-0000-0000-0000B2150000}"/>
    <cellStyle name="Normal 4 4 3 8 2 2" xfId="15276" xr:uid="{4E9EFF87-5570-44F1-B5A7-6D2EFC449EBB}"/>
    <cellStyle name="Normal 4 4 3 8 2 3" xfId="23723" xr:uid="{433FF50D-0A69-4427-A057-CE168B5D71C1}"/>
    <cellStyle name="Normal 4 4 3 8 3" xfId="11058" xr:uid="{4A04328B-4E8D-49E2-B292-57741F1E2945}"/>
    <cellStyle name="Normal 4 4 3 8 4" xfId="19506" xr:uid="{B966C63B-EA38-4715-9E71-A5C27D2A6CFF}"/>
    <cellStyle name="Normal 4 4 3 9" xfId="4761" xr:uid="{00000000-0005-0000-0000-0000B3150000}"/>
    <cellStyle name="Normal 4 4 3 9 2" xfId="13211" xr:uid="{6CBA9944-CE43-46B7-9CA6-9BB1C5AE86CA}"/>
    <cellStyle name="Normal 4 4 3 9 3" xfId="21658" xr:uid="{2CD403B3-D1D7-4ADD-80D8-1C3A889847A8}"/>
    <cellStyle name="Normal 4 4 4" xfId="391" xr:uid="{00000000-0005-0000-0000-0000B4150000}"/>
    <cellStyle name="Normal 4 4 4 10" xfId="17445" xr:uid="{19DE40D3-51D2-4644-8474-7C9E9B9773F3}"/>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2 2 2" xfId="15774" xr:uid="{1BC17AA8-607B-4DA8-841D-D2899148F29D}"/>
    <cellStyle name="Normal 4 4 4 2 2 2 2 3" xfId="24221" xr:uid="{F174BD45-9BBA-4831-92B1-C2AE69897EBF}"/>
    <cellStyle name="Normal 4 4 4 2 2 2 3" xfId="11556" xr:uid="{4272F5F0-01B8-46EA-B21F-17784E78CCA4}"/>
    <cellStyle name="Normal 4 4 4 2 2 2 4" xfId="20004" xr:uid="{7099F45C-8100-40D8-B110-86CAADFD0020}"/>
    <cellStyle name="Normal 4 4 4 2 2 3" xfId="5179" xr:uid="{00000000-0005-0000-0000-0000B9150000}"/>
    <cellStyle name="Normal 4 4 4 2 2 3 2" xfId="13629" xr:uid="{283C2E14-F20D-4F71-9D95-2E33EF5F8B8A}"/>
    <cellStyle name="Normal 4 4 4 2 2 3 3" xfId="22076" xr:uid="{6B670CAE-CE4E-4754-9EEA-F7C601E58CAE}"/>
    <cellStyle name="Normal 4 4 4 2 2 4" xfId="9411" xr:uid="{7F8971E6-14B8-44B4-BF2B-2DE1817CBB5C}"/>
    <cellStyle name="Normal 4 4 4 2 2 5" xfId="17859" xr:uid="{67C54668-3904-4AFA-B111-48C6AB383633}"/>
    <cellStyle name="Normal 4 4 4 2 3" xfId="1285" xr:uid="{00000000-0005-0000-0000-0000BA150000}"/>
    <cellStyle name="Normal 4 4 4 2 3 2" xfId="3515" xr:uid="{00000000-0005-0000-0000-0000BB150000}"/>
    <cellStyle name="Normal 4 4 4 2 3 2 2" xfId="7737" xr:uid="{00000000-0005-0000-0000-0000BC150000}"/>
    <cellStyle name="Normal 4 4 4 2 3 2 2 2" xfId="16187" xr:uid="{6032A21F-EEE6-4EF8-8675-BBF31FB08FBE}"/>
    <cellStyle name="Normal 4 4 4 2 3 2 2 3" xfId="24634" xr:uid="{F25BE598-1D88-4F27-B7E2-E3AEA447F6CC}"/>
    <cellStyle name="Normal 4 4 4 2 3 2 3" xfId="11969" xr:uid="{37AE793D-1A12-4754-885C-09DF322B923E}"/>
    <cellStyle name="Normal 4 4 4 2 3 2 4" xfId="20417" xr:uid="{904C2E3E-04B9-406E-97CA-D0C18D38D720}"/>
    <cellStyle name="Normal 4 4 4 2 3 3" xfId="5592" xr:uid="{00000000-0005-0000-0000-0000BD150000}"/>
    <cellStyle name="Normal 4 4 4 2 3 3 2" xfId="14042" xr:uid="{7D04E5FD-46AF-4576-BBF9-960871B5088C}"/>
    <cellStyle name="Normal 4 4 4 2 3 3 3" xfId="22489" xr:uid="{13B4D6A8-A774-4EA0-9CE3-1996A4725E41}"/>
    <cellStyle name="Normal 4 4 4 2 3 4" xfId="9824" xr:uid="{B8403FDC-A0B5-4775-9FBF-406539DD6927}"/>
    <cellStyle name="Normal 4 4 4 2 3 5" xfId="18272" xr:uid="{F8255832-5234-487C-826E-4F304C73654F}"/>
    <cellStyle name="Normal 4 4 4 2 4" xfId="1698" xr:uid="{00000000-0005-0000-0000-0000BE150000}"/>
    <cellStyle name="Normal 4 4 4 2 4 2" xfId="3928" xr:uid="{00000000-0005-0000-0000-0000BF150000}"/>
    <cellStyle name="Normal 4 4 4 2 4 2 2" xfId="8150" xr:uid="{00000000-0005-0000-0000-0000C0150000}"/>
    <cellStyle name="Normal 4 4 4 2 4 2 2 2" xfId="16600" xr:uid="{48A8FBEA-252C-4C76-921E-0F982EBDCEF3}"/>
    <cellStyle name="Normal 4 4 4 2 4 2 2 3" xfId="25047" xr:uid="{8FEB79C0-578C-45E9-A27A-0DF250024C90}"/>
    <cellStyle name="Normal 4 4 4 2 4 2 3" xfId="12382" xr:uid="{70A52BED-7133-4BC7-A825-643FE28CDBA9}"/>
    <cellStyle name="Normal 4 4 4 2 4 2 4" xfId="20830" xr:uid="{C71DEDD7-2A38-40D0-9E57-DC3716C87072}"/>
    <cellStyle name="Normal 4 4 4 2 4 3" xfId="6005" xr:uid="{00000000-0005-0000-0000-0000C1150000}"/>
    <cellStyle name="Normal 4 4 4 2 4 3 2" xfId="14455" xr:uid="{63275539-093B-4162-9783-91E8F8EE793D}"/>
    <cellStyle name="Normal 4 4 4 2 4 3 3" xfId="22902" xr:uid="{36DC8518-962D-4D1E-8846-9D71C292A5AE}"/>
    <cellStyle name="Normal 4 4 4 2 4 4" xfId="10237" xr:uid="{BFAA778F-5201-4AFF-8C0D-1C033E5D5372}"/>
    <cellStyle name="Normal 4 4 4 2 4 5" xfId="18685" xr:uid="{AB091AC8-C009-49C3-9B41-260D26138A9F}"/>
    <cellStyle name="Normal 4 4 4 2 5" xfId="2112" xr:uid="{00000000-0005-0000-0000-0000C2150000}"/>
    <cellStyle name="Normal 4 4 4 2 5 2" xfId="4341" xr:uid="{00000000-0005-0000-0000-0000C3150000}"/>
    <cellStyle name="Normal 4 4 4 2 5 2 2" xfId="8563" xr:uid="{00000000-0005-0000-0000-0000C4150000}"/>
    <cellStyle name="Normal 4 4 4 2 5 2 2 2" xfId="17013" xr:uid="{656B958E-BBD4-47BD-8D87-920444C1B510}"/>
    <cellStyle name="Normal 4 4 4 2 5 2 2 3" xfId="25460" xr:uid="{590F8EED-8691-4A80-BEF0-C3A2FC4F0D47}"/>
    <cellStyle name="Normal 4 4 4 2 5 2 3" xfId="12795" xr:uid="{A0927556-D2FD-477A-8B79-15D3933F51F4}"/>
    <cellStyle name="Normal 4 4 4 2 5 2 4" xfId="21243" xr:uid="{9751DB48-476B-45B3-BCD3-BA64521FBE20}"/>
    <cellStyle name="Normal 4 4 4 2 5 3" xfId="6418" xr:uid="{00000000-0005-0000-0000-0000C5150000}"/>
    <cellStyle name="Normal 4 4 4 2 5 3 2" xfId="14868" xr:uid="{31517ABF-D399-48B6-9E4A-8BD522B0A652}"/>
    <cellStyle name="Normal 4 4 4 2 5 3 3" xfId="23315" xr:uid="{55512F23-0EE8-4230-9233-8FE8255E89E6}"/>
    <cellStyle name="Normal 4 4 4 2 5 4" xfId="10650" xr:uid="{587B0047-B1B5-494F-8011-B8C4CA9B8CF5}"/>
    <cellStyle name="Normal 4 4 4 2 5 5" xfId="19098" xr:uid="{A120122B-7F4B-47E2-993C-B628DD32514D}"/>
    <cellStyle name="Normal 4 4 4 2 6" xfId="2548" xr:uid="{00000000-0005-0000-0000-0000C6150000}"/>
    <cellStyle name="Normal 4 4 4 2 6 2" xfId="6831" xr:uid="{00000000-0005-0000-0000-0000C7150000}"/>
    <cellStyle name="Normal 4 4 4 2 6 2 2" xfId="15281" xr:uid="{333E80D1-AB4D-40F8-95D2-46DA69FA43A9}"/>
    <cellStyle name="Normal 4 4 4 2 6 2 3" xfId="23728" xr:uid="{202FC38E-E3E9-4259-8C8D-35BF98FF34F3}"/>
    <cellStyle name="Normal 4 4 4 2 6 3" xfId="11063" xr:uid="{23687342-CC99-406E-AB50-5C65658DED7C}"/>
    <cellStyle name="Normal 4 4 4 2 6 4" xfId="19511" xr:uid="{16CA846C-AD10-4D29-8507-168102EEA41A}"/>
    <cellStyle name="Normal 4 4 4 2 7" xfId="4766" xr:uid="{00000000-0005-0000-0000-0000C8150000}"/>
    <cellStyle name="Normal 4 4 4 2 7 2" xfId="13216" xr:uid="{026B4541-4B96-4F49-B661-9B6C8E5B8512}"/>
    <cellStyle name="Normal 4 4 4 2 7 3" xfId="21663" xr:uid="{0C4A205F-01AA-4BD9-8D8F-00876E0D068F}"/>
    <cellStyle name="Normal 4 4 4 2 8" xfId="8998" xr:uid="{563B616E-AF6F-4B84-8AEB-BFB324450987}"/>
    <cellStyle name="Normal 4 4 4 2 9" xfId="17446" xr:uid="{1EAE616B-7AD1-441B-832D-ECE01234950F}"/>
    <cellStyle name="Normal 4 4 4 3" xfId="866" xr:uid="{00000000-0005-0000-0000-0000C9150000}"/>
    <cellStyle name="Normal 4 4 4 3 2" xfId="3101" xr:uid="{00000000-0005-0000-0000-0000CA150000}"/>
    <cellStyle name="Normal 4 4 4 3 2 2" xfId="7323" xr:uid="{00000000-0005-0000-0000-0000CB150000}"/>
    <cellStyle name="Normal 4 4 4 3 2 2 2" xfId="15773" xr:uid="{BDC4C311-9C95-4726-A682-A07798A4343A}"/>
    <cellStyle name="Normal 4 4 4 3 2 2 3" xfId="24220" xr:uid="{69E9F84F-435B-43A0-97BB-0B8B9CC43263}"/>
    <cellStyle name="Normal 4 4 4 3 2 3" xfId="11555" xr:uid="{EA358939-D991-453C-B783-E5C4DE7311AC}"/>
    <cellStyle name="Normal 4 4 4 3 2 4" xfId="20003" xr:uid="{748D8D5C-F252-458D-9CC2-D4893F2A3DAE}"/>
    <cellStyle name="Normal 4 4 4 3 3" xfId="5178" xr:uid="{00000000-0005-0000-0000-0000CC150000}"/>
    <cellStyle name="Normal 4 4 4 3 3 2" xfId="13628" xr:uid="{7FF0554D-1875-486A-B9D5-387A88E66E22}"/>
    <cellStyle name="Normal 4 4 4 3 3 3" xfId="22075" xr:uid="{8021BA00-9C77-441A-A61A-C07DC40877AD}"/>
    <cellStyle name="Normal 4 4 4 3 4" xfId="9410" xr:uid="{F860D1B2-BBEF-450D-8B83-CBF7E414F448}"/>
    <cellStyle name="Normal 4 4 4 3 5" xfId="17858" xr:uid="{FDFA8C7B-17FE-4C49-B780-D9670084C985}"/>
    <cellStyle name="Normal 4 4 4 4" xfId="1284" xr:uid="{00000000-0005-0000-0000-0000CD150000}"/>
    <cellStyle name="Normal 4 4 4 4 2" xfId="3514" xr:uid="{00000000-0005-0000-0000-0000CE150000}"/>
    <cellStyle name="Normal 4 4 4 4 2 2" xfId="7736" xr:uid="{00000000-0005-0000-0000-0000CF150000}"/>
    <cellStyle name="Normal 4 4 4 4 2 2 2" xfId="16186" xr:uid="{F82D830B-50A0-4E6E-AE35-98D5ADD020C9}"/>
    <cellStyle name="Normal 4 4 4 4 2 2 3" xfId="24633" xr:uid="{C1A3E7A5-0294-4A4E-AA2C-1C3DD7C8F102}"/>
    <cellStyle name="Normal 4 4 4 4 2 3" xfId="11968" xr:uid="{C390283B-BE45-4ABE-8B8F-48BD5BC8389B}"/>
    <cellStyle name="Normal 4 4 4 4 2 4" xfId="20416" xr:uid="{BA903F39-2B39-4E9D-8E28-422DCCC20D6F}"/>
    <cellStyle name="Normal 4 4 4 4 3" xfId="5591" xr:uid="{00000000-0005-0000-0000-0000D0150000}"/>
    <cellStyle name="Normal 4 4 4 4 3 2" xfId="14041" xr:uid="{4C5831B0-449C-4C3F-B827-C0644E9C7222}"/>
    <cellStyle name="Normal 4 4 4 4 3 3" xfId="22488" xr:uid="{689FC18E-844F-474E-94B5-B208543D1B9B}"/>
    <cellStyle name="Normal 4 4 4 4 4" xfId="9823" xr:uid="{6CE0B43F-6716-4555-941E-34DEA9C663DB}"/>
    <cellStyle name="Normal 4 4 4 4 5" xfId="18271" xr:uid="{2492887C-D5AE-4263-87AA-4D360AACCB52}"/>
    <cellStyle name="Normal 4 4 4 5" xfId="1697" xr:uid="{00000000-0005-0000-0000-0000D1150000}"/>
    <cellStyle name="Normal 4 4 4 5 2" xfId="3927" xr:uid="{00000000-0005-0000-0000-0000D2150000}"/>
    <cellStyle name="Normal 4 4 4 5 2 2" xfId="8149" xr:uid="{00000000-0005-0000-0000-0000D3150000}"/>
    <cellStyle name="Normal 4 4 4 5 2 2 2" xfId="16599" xr:uid="{BF0E8457-7367-4BFF-A9F8-F9CA7473DDD3}"/>
    <cellStyle name="Normal 4 4 4 5 2 2 3" xfId="25046" xr:uid="{037D70CC-E3D5-4FA5-9298-F503FAD90743}"/>
    <cellStyle name="Normal 4 4 4 5 2 3" xfId="12381" xr:uid="{C422DDB6-B427-45B0-926B-B90EA78A64D3}"/>
    <cellStyle name="Normal 4 4 4 5 2 4" xfId="20829" xr:uid="{B302550E-9564-4B06-84AE-B935346B8096}"/>
    <cellStyle name="Normal 4 4 4 5 3" xfId="6004" xr:uid="{00000000-0005-0000-0000-0000D4150000}"/>
    <cellStyle name="Normal 4 4 4 5 3 2" xfId="14454" xr:uid="{E6345EC5-EF22-44D5-9589-46269A03060D}"/>
    <cellStyle name="Normal 4 4 4 5 3 3" xfId="22901" xr:uid="{03C176B2-531A-4D1A-8642-3A501A5AFA05}"/>
    <cellStyle name="Normal 4 4 4 5 4" xfId="10236" xr:uid="{A6A51519-4F23-43B0-B42A-C714DB366D92}"/>
    <cellStyle name="Normal 4 4 4 5 5" xfId="18684" xr:uid="{B45A50D3-E489-440F-99E6-77DCB15B75A5}"/>
    <cellStyle name="Normal 4 4 4 6" xfId="2111" xr:uid="{00000000-0005-0000-0000-0000D5150000}"/>
    <cellStyle name="Normal 4 4 4 6 2" xfId="4340" xr:uid="{00000000-0005-0000-0000-0000D6150000}"/>
    <cellStyle name="Normal 4 4 4 6 2 2" xfId="8562" xr:uid="{00000000-0005-0000-0000-0000D7150000}"/>
    <cellStyle name="Normal 4 4 4 6 2 2 2" xfId="17012" xr:uid="{3F6AB50E-2891-46BE-B948-40CD9C20D72C}"/>
    <cellStyle name="Normal 4 4 4 6 2 2 3" xfId="25459" xr:uid="{6EB05DF8-53C6-4CAB-8040-35FCB8F0E0F5}"/>
    <cellStyle name="Normal 4 4 4 6 2 3" xfId="12794" xr:uid="{403BDC2F-7B82-4CFE-B6ED-2A8BE4B92F10}"/>
    <cellStyle name="Normal 4 4 4 6 2 4" xfId="21242" xr:uid="{9A75290C-993C-4844-BB81-0B442D9BB238}"/>
    <cellStyle name="Normal 4 4 4 6 3" xfId="6417" xr:uid="{00000000-0005-0000-0000-0000D8150000}"/>
    <cellStyle name="Normal 4 4 4 6 3 2" xfId="14867" xr:uid="{7E6CBC34-6CC3-42E0-A46D-5DE52823DF33}"/>
    <cellStyle name="Normal 4 4 4 6 3 3" xfId="23314" xr:uid="{EE687709-343D-4F2A-A4CD-346277E8A22B}"/>
    <cellStyle name="Normal 4 4 4 6 4" xfId="10649" xr:uid="{6214F784-EA47-4B66-9354-6DA8AEDD2C02}"/>
    <cellStyle name="Normal 4 4 4 6 5" xfId="19097" xr:uid="{BB521098-48FE-4085-804A-A7ED84F1E95E}"/>
    <cellStyle name="Normal 4 4 4 7" xfId="2547" xr:uid="{00000000-0005-0000-0000-0000D9150000}"/>
    <cellStyle name="Normal 4 4 4 7 2" xfId="6830" xr:uid="{00000000-0005-0000-0000-0000DA150000}"/>
    <cellStyle name="Normal 4 4 4 7 2 2" xfId="15280" xr:uid="{9E4F48AF-CC03-4D4B-BC7C-E8CFBCC043F6}"/>
    <cellStyle name="Normal 4 4 4 7 2 3" xfId="23727" xr:uid="{2BD57D58-88AB-4DD9-B791-64682807C772}"/>
    <cellStyle name="Normal 4 4 4 7 3" xfId="11062" xr:uid="{CB2803A4-E6EF-4B48-86FF-4F706D3EB445}"/>
    <cellStyle name="Normal 4 4 4 7 4" xfId="19510" xr:uid="{C556BD0F-7206-497F-B496-F6FD1B6E8B83}"/>
    <cellStyle name="Normal 4 4 4 8" xfId="4765" xr:uid="{00000000-0005-0000-0000-0000DB150000}"/>
    <cellStyle name="Normal 4 4 4 8 2" xfId="13215" xr:uid="{7E5B3DB2-60E1-42A5-A167-4600FC5D3A7B}"/>
    <cellStyle name="Normal 4 4 4 8 3" xfId="21662" xr:uid="{7E00DB5A-65CD-46FE-B3A1-FCDD9D382551}"/>
    <cellStyle name="Normal 4 4 4 9" xfId="8997" xr:uid="{80601774-E8C1-4327-8F34-C46C0B0096EE}"/>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2 2 2" xfId="15775" xr:uid="{A64163D3-556A-4907-B65E-24A41802E133}"/>
    <cellStyle name="Normal 4 4 5 2 2 2 3" xfId="24222" xr:uid="{E38785A8-F412-4B03-BB24-8EB35B59E4ED}"/>
    <cellStyle name="Normal 4 4 5 2 2 3" xfId="11557" xr:uid="{94A4EF0F-8D05-4CD0-9AD3-86A0AB0E3CF2}"/>
    <cellStyle name="Normal 4 4 5 2 2 4" xfId="20005" xr:uid="{913BBF52-A11C-4D71-8D46-7C4AF041E4ED}"/>
    <cellStyle name="Normal 4 4 5 2 3" xfId="5180" xr:uid="{00000000-0005-0000-0000-0000E0150000}"/>
    <cellStyle name="Normal 4 4 5 2 3 2" xfId="13630" xr:uid="{9454E941-6DAE-49C9-9B85-6F972DE1267E}"/>
    <cellStyle name="Normal 4 4 5 2 3 3" xfId="22077" xr:uid="{E64067F6-9B59-4D6A-9012-D7F85DA5EFF8}"/>
    <cellStyle name="Normal 4 4 5 2 4" xfId="9412" xr:uid="{1D09F57A-C208-425F-8C11-FDE33EE47380}"/>
    <cellStyle name="Normal 4 4 5 2 5" xfId="17860" xr:uid="{5CC7B138-ECEF-4453-9726-84EA330FE438}"/>
    <cellStyle name="Normal 4 4 5 3" xfId="1286" xr:uid="{00000000-0005-0000-0000-0000E1150000}"/>
    <cellStyle name="Normal 4 4 5 3 2" xfId="3516" xr:uid="{00000000-0005-0000-0000-0000E2150000}"/>
    <cellStyle name="Normal 4 4 5 3 2 2" xfId="7738" xr:uid="{00000000-0005-0000-0000-0000E3150000}"/>
    <cellStyle name="Normal 4 4 5 3 2 2 2" xfId="16188" xr:uid="{3202C98D-00A5-4D7F-80FC-B68EC0D7E0CC}"/>
    <cellStyle name="Normal 4 4 5 3 2 2 3" xfId="24635" xr:uid="{F5507BDC-C8A2-49E6-8A58-B50593C96E05}"/>
    <cellStyle name="Normal 4 4 5 3 2 3" xfId="11970" xr:uid="{2CCF00E6-EA9B-4A4F-B17B-1D849CBDA269}"/>
    <cellStyle name="Normal 4 4 5 3 2 4" xfId="20418" xr:uid="{95B63510-3B11-416C-82FB-6555279FCDF7}"/>
    <cellStyle name="Normal 4 4 5 3 3" xfId="5593" xr:uid="{00000000-0005-0000-0000-0000E4150000}"/>
    <cellStyle name="Normal 4 4 5 3 3 2" xfId="14043" xr:uid="{5AD139EC-9088-4332-838E-3F51EDC3A2B1}"/>
    <cellStyle name="Normal 4 4 5 3 3 3" xfId="22490" xr:uid="{201B2D21-7E33-4A32-84B3-99D2E31DE2D8}"/>
    <cellStyle name="Normal 4 4 5 3 4" xfId="9825" xr:uid="{81B0989F-767A-4A72-AA73-6717ACE987C1}"/>
    <cellStyle name="Normal 4 4 5 3 5" xfId="18273" xr:uid="{F4738181-2D8C-4BBD-9079-A728744E6729}"/>
    <cellStyle name="Normal 4 4 5 4" xfId="1699" xr:uid="{00000000-0005-0000-0000-0000E5150000}"/>
    <cellStyle name="Normal 4 4 5 4 2" xfId="3929" xr:uid="{00000000-0005-0000-0000-0000E6150000}"/>
    <cellStyle name="Normal 4 4 5 4 2 2" xfId="8151" xr:uid="{00000000-0005-0000-0000-0000E7150000}"/>
    <cellStyle name="Normal 4 4 5 4 2 2 2" xfId="16601" xr:uid="{6FA0DD56-ADDA-4D2A-9677-AD93530FF456}"/>
    <cellStyle name="Normal 4 4 5 4 2 2 3" xfId="25048" xr:uid="{B93F64AB-B0DA-48C9-9BF8-C9C212C625D4}"/>
    <cellStyle name="Normal 4 4 5 4 2 3" xfId="12383" xr:uid="{D08812D0-E8FC-4633-98FB-BC88D18A2BAF}"/>
    <cellStyle name="Normal 4 4 5 4 2 4" xfId="20831" xr:uid="{6D37A4D6-6A77-4C03-8010-B7E539A7DCF4}"/>
    <cellStyle name="Normal 4 4 5 4 3" xfId="6006" xr:uid="{00000000-0005-0000-0000-0000E8150000}"/>
    <cellStyle name="Normal 4 4 5 4 3 2" xfId="14456" xr:uid="{4CFAC389-66F7-489B-BD71-DC4D559D16F5}"/>
    <cellStyle name="Normal 4 4 5 4 3 3" xfId="22903" xr:uid="{43FB3366-AD84-4C32-ADA1-73BD453EABC0}"/>
    <cellStyle name="Normal 4 4 5 4 4" xfId="10238" xr:uid="{4BA5787F-3A64-4791-BB32-80EECFBB8077}"/>
    <cellStyle name="Normal 4 4 5 4 5" xfId="18686" xr:uid="{6DFCFC0F-DB90-4DC4-ACA9-6D74D3B9DBF6}"/>
    <cellStyle name="Normal 4 4 5 5" xfId="2113" xr:uid="{00000000-0005-0000-0000-0000E9150000}"/>
    <cellStyle name="Normal 4 4 5 5 2" xfId="4342" xr:uid="{00000000-0005-0000-0000-0000EA150000}"/>
    <cellStyle name="Normal 4 4 5 5 2 2" xfId="8564" xr:uid="{00000000-0005-0000-0000-0000EB150000}"/>
    <cellStyle name="Normal 4 4 5 5 2 2 2" xfId="17014" xr:uid="{87431B72-5C01-413F-898F-06EC7C9DBFC3}"/>
    <cellStyle name="Normal 4 4 5 5 2 2 3" xfId="25461" xr:uid="{BF958CA7-D288-498B-A616-8319930D9EDC}"/>
    <cellStyle name="Normal 4 4 5 5 2 3" xfId="12796" xr:uid="{D5E2524D-21F1-44ED-A26B-107FD7EB22E2}"/>
    <cellStyle name="Normal 4 4 5 5 2 4" xfId="21244" xr:uid="{30DC8BFA-4CBF-4451-8B78-F98D97B826AE}"/>
    <cellStyle name="Normal 4 4 5 5 3" xfId="6419" xr:uid="{00000000-0005-0000-0000-0000EC150000}"/>
    <cellStyle name="Normal 4 4 5 5 3 2" xfId="14869" xr:uid="{A0F052C2-99D4-4454-A066-4B0C9AD70245}"/>
    <cellStyle name="Normal 4 4 5 5 3 3" xfId="23316" xr:uid="{756D9627-3138-426E-8CAD-89B76C94F843}"/>
    <cellStyle name="Normal 4 4 5 5 4" xfId="10651" xr:uid="{30588819-5121-4ABC-BE5C-C1121BE358ED}"/>
    <cellStyle name="Normal 4 4 5 5 5" xfId="19099" xr:uid="{3CADC188-426E-4E42-A207-E4B5128727A2}"/>
    <cellStyle name="Normal 4 4 5 6" xfId="2549" xr:uid="{00000000-0005-0000-0000-0000ED150000}"/>
    <cellStyle name="Normal 4 4 5 6 2" xfId="6832" xr:uid="{00000000-0005-0000-0000-0000EE150000}"/>
    <cellStyle name="Normal 4 4 5 6 2 2" xfId="15282" xr:uid="{C6762039-6D87-45A9-B934-F64F2BDB8D8B}"/>
    <cellStyle name="Normal 4 4 5 6 2 3" xfId="23729" xr:uid="{DFE8A1CF-FB37-4DFA-AE31-9B4FD9E3E49F}"/>
    <cellStyle name="Normal 4 4 5 6 3" xfId="11064" xr:uid="{48FA302B-CB59-4A5B-B3AC-BED11169C3F2}"/>
    <cellStyle name="Normal 4 4 5 6 4" xfId="19512" xr:uid="{90B2D530-D96A-428E-912C-9CC2BB8AF708}"/>
    <cellStyle name="Normal 4 4 5 7" xfId="4767" xr:uid="{00000000-0005-0000-0000-0000EF150000}"/>
    <cellStyle name="Normal 4 4 5 7 2" xfId="13217" xr:uid="{BC76D0EE-59E2-4D53-9A42-3ADFC57DFD00}"/>
    <cellStyle name="Normal 4 4 5 7 3" xfId="21664" xr:uid="{7690BFA1-8353-4452-BCF7-50B0C3F91730}"/>
    <cellStyle name="Normal 4 4 5 8" xfId="8999" xr:uid="{75C66E18-249F-4CCE-9A0E-4E0EB1573DF9}"/>
    <cellStyle name="Normal 4 4 5 9" xfId="17447" xr:uid="{5BD8C673-6471-4A1E-9818-193C91E9B3AB}"/>
    <cellStyle name="Normal 4 4 6" xfId="853" xr:uid="{00000000-0005-0000-0000-0000F0150000}"/>
    <cellStyle name="Normal 4 4 6 2" xfId="3088" xr:uid="{00000000-0005-0000-0000-0000F1150000}"/>
    <cellStyle name="Normal 4 4 6 2 2" xfId="7310" xr:uid="{00000000-0005-0000-0000-0000F2150000}"/>
    <cellStyle name="Normal 4 4 6 2 2 2" xfId="15760" xr:uid="{FD760B66-2988-4B3D-9871-BF9EDE6EF407}"/>
    <cellStyle name="Normal 4 4 6 2 2 3" xfId="24207" xr:uid="{2EFB183D-C30C-4C14-A910-0DE9A67331F1}"/>
    <cellStyle name="Normal 4 4 6 2 3" xfId="11542" xr:uid="{799CCAFC-D385-4112-B6FC-364EBA8A89CC}"/>
    <cellStyle name="Normal 4 4 6 2 4" xfId="19990" xr:uid="{FB088137-5B8C-441B-B9EE-151933784A89}"/>
    <cellStyle name="Normal 4 4 6 3" xfId="5165" xr:uid="{00000000-0005-0000-0000-0000F3150000}"/>
    <cellStyle name="Normal 4 4 6 3 2" xfId="13615" xr:uid="{F906F86F-5AFF-429F-B4AB-F7B7B90DCB7C}"/>
    <cellStyle name="Normal 4 4 6 3 3" xfId="22062" xr:uid="{84AC7773-31A9-48FC-B3C7-15426B622C7B}"/>
    <cellStyle name="Normal 4 4 6 4" xfId="9397" xr:uid="{8C94AB0D-90CA-4ECE-A07D-7DCAD0FB44A7}"/>
    <cellStyle name="Normal 4 4 6 5" xfId="17845" xr:uid="{92C7F40A-E0BE-4D91-BE29-1E56A5DEFAC7}"/>
    <cellStyle name="Normal 4 4 7" xfId="1271" xr:uid="{00000000-0005-0000-0000-0000F4150000}"/>
    <cellStyle name="Normal 4 4 7 2" xfId="3501" xr:uid="{00000000-0005-0000-0000-0000F5150000}"/>
    <cellStyle name="Normal 4 4 7 2 2" xfId="7723" xr:uid="{00000000-0005-0000-0000-0000F6150000}"/>
    <cellStyle name="Normal 4 4 7 2 2 2" xfId="16173" xr:uid="{72D024D0-61A9-4130-8F58-054EAD58B02D}"/>
    <cellStyle name="Normal 4 4 7 2 2 3" xfId="24620" xr:uid="{A7E7F3D5-C546-41C1-932C-54EAE13D1EE4}"/>
    <cellStyle name="Normal 4 4 7 2 3" xfId="11955" xr:uid="{BC7E1E76-1C02-467F-BB36-5DC6400F9C6F}"/>
    <cellStyle name="Normal 4 4 7 2 4" xfId="20403" xr:uid="{DAAFD3B1-337D-4510-9263-7CDA9A453E70}"/>
    <cellStyle name="Normal 4 4 7 3" xfId="5578" xr:uid="{00000000-0005-0000-0000-0000F7150000}"/>
    <cellStyle name="Normal 4 4 7 3 2" xfId="14028" xr:uid="{A13191CC-5F58-42F9-885F-3A04A24B3F06}"/>
    <cellStyle name="Normal 4 4 7 3 3" xfId="22475" xr:uid="{FE716911-3B18-4E03-BFE3-7DF5B5C1D1EA}"/>
    <cellStyle name="Normal 4 4 7 4" xfId="9810" xr:uid="{1582A71D-0236-45E4-8439-D11DF246C38F}"/>
    <cellStyle name="Normal 4 4 7 5" xfId="18258" xr:uid="{F4235B2A-C988-48E8-B62A-6233F881FD68}"/>
    <cellStyle name="Normal 4 4 8" xfId="1684" xr:uid="{00000000-0005-0000-0000-0000F8150000}"/>
    <cellStyle name="Normal 4 4 8 2" xfId="3914" xr:uid="{00000000-0005-0000-0000-0000F9150000}"/>
    <cellStyle name="Normal 4 4 8 2 2" xfId="8136" xr:uid="{00000000-0005-0000-0000-0000FA150000}"/>
    <cellStyle name="Normal 4 4 8 2 2 2" xfId="16586" xr:uid="{241D3F95-ED75-4B75-B23F-319374E04FDF}"/>
    <cellStyle name="Normal 4 4 8 2 2 3" xfId="25033" xr:uid="{D96F2A4A-44E5-4C0F-959A-B8DDDC502686}"/>
    <cellStyle name="Normal 4 4 8 2 3" xfId="12368" xr:uid="{2696E5D6-66C5-4809-AC54-2ED937BE26F6}"/>
    <cellStyle name="Normal 4 4 8 2 4" xfId="20816" xr:uid="{078F3901-718D-44F0-99A0-E23D648B1AF9}"/>
    <cellStyle name="Normal 4 4 8 3" xfId="5991" xr:uid="{00000000-0005-0000-0000-0000FB150000}"/>
    <cellStyle name="Normal 4 4 8 3 2" xfId="14441" xr:uid="{6EA95E3A-85C4-49B9-942A-6E778EB07F16}"/>
    <cellStyle name="Normal 4 4 8 3 3" xfId="22888" xr:uid="{77F49507-CA5E-4F3C-9F7C-3420E10EDF06}"/>
    <cellStyle name="Normal 4 4 8 4" xfId="10223" xr:uid="{D41F7E0D-837F-40FB-80AC-200A2960F6DB}"/>
    <cellStyle name="Normal 4 4 8 5" xfId="18671" xr:uid="{37A7D378-2CAE-4089-8862-5D929211E2DA}"/>
    <cellStyle name="Normal 4 4 9" xfId="2098" xr:uid="{00000000-0005-0000-0000-0000FC150000}"/>
    <cellStyle name="Normal 4 4 9 2" xfId="4327" xr:uid="{00000000-0005-0000-0000-0000FD150000}"/>
    <cellStyle name="Normal 4 4 9 2 2" xfId="8549" xr:uid="{00000000-0005-0000-0000-0000FE150000}"/>
    <cellStyle name="Normal 4 4 9 2 2 2" xfId="16999" xr:uid="{9E05BE36-E7D8-4C92-9B52-5190C83BD56B}"/>
    <cellStyle name="Normal 4 4 9 2 2 3" xfId="25446" xr:uid="{0233310E-35CA-412A-B1DC-4343B39E267B}"/>
    <cellStyle name="Normal 4 4 9 2 3" xfId="12781" xr:uid="{79EBCB80-BE94-4571-8A62-7B6D8D56574E}"/>
    <cellStyle name="Normal 4 4 9 2 4" xfId="21229" xr:uid="{161FA8D4-5A04-4ECF-A3FD-6FC70CFC052B}"/>
    <cellStyle name="Normal 4 4 9 3" xfId="6404" xr:uid="{00000000-0005-0000-0000-0000FF150000}"/>
    <cellStyle name="Normal 4 4 9 3 2" xfId="14854" xr:uid="{7F3A781D-28EF-4CCD-B517-4933D4767FB5}"/>
    <cellStyle name="Normal 4 4 9 3 3" xfId="23301" xr:uid="{2566CEC0-F192-4F31-8A7F-D077A4209E88}"/>
    <cellStyle name="Normal 4 4 9 4" xfId="10636" xr:uid="{A03EE9A9-72DB-4BEC-BC14-3F203FEE3507}"/>
    <cellStyle name="Normal 4 4 9 5" xfId="19084" xr:uid="{9453DD9B-37FA-461C-A01E-40E64A4DACE8}"/>
    <cellStyle name="Normal 4 5" xfId="394" xr:uid="{00000000-0005-0000-0000-000000160000}"/>
    <cellStyle name="Normal 4 6" xfId="395" xr:uid="{00000000-0005-0000-0000-000001160000}"/>
    <cellStyle name="Normal 4 6 10" xfId="4768" xr:uid="{00000000-0005-0000-0000-000002160000}"/>
    <cellStyle name="Normal 4 6 10 2" xfId="13218" xr:uid="{AA732497-F0F5-4568-815C-F0629183E8DE}"/>
    <cellStyle name="Normal 4 6 10 3" xfId="21665" xr:uid="{D01A02CD-9FC0-4BDD-831E-AABE97F11832}"/>
    <cellStyle name="Normal 4 6 11" xfId="9000" xr:uid="{E3566CD2-E57F-47C2-B7C7-507E01959968}"/>
    <cellStyle name="Normal 4 6 12" xfId="17448" xr:uid="{8708A5C0-5E80-45C0-B74F-DC7EB91F10EF}"/>
    <cellStyle name="Normal 4 6 2" xfId="396" xr:uid="{00000000-0005-0000-0000-000003160000}"/>
    <cellStyle name="Normal 4 6 2 10" xfId="9001" xr:uid="{E4746CA9-9167-4843-8E5B-1F377B10497D}"/>
    <cellStyle name="Normal 4 6 2 11" xfId="17449" xr:uid="{C0B21EAF-FFB9-47CC-9EF1-E92747031519}"/>
    <cellStyle name="Normal 4 6 2 2" xfId="397" xr:uid="{00000000-0005-0000-0000-000004160000}"/>
    <cellStyle name="Normal 4 6 2 2 10" xfId="17450" xr:uid="{30258AC0-222A-4B2D-9263-B46591960573}"/>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2 2 2" xfId="15779" xr:uid="{B9B342C0-9472-4807-B7CE-78FB4FC1AA8B}"/>
    <cellStyle name="Normal 4 6 2 2 2 2 2 2 3" xfId="24226" xr:uid="{5BF614FC-6A86-4DEE-AE48-841F243A2AF3}"/>
    <cellStyle name="Normal 4 6 2 2 2 2 2 3" xfId="11561" xr:uid="{47B79CE3-BEA3-4B96-B16D-721CBAE5EB5F}"/>
    <cellStyle name="Normal 4 6 2 2 2 2 2 4" xfId="20009" xr:uid="{9FD04815-9E9D-4656-9E23-C0A909BC60AC}"/>
    <cellStyle name="Normal 4 6 2 2 2 2 3" xfId="5184" xr:uid="{00000000-0005-0000-0000-000009160000}"/>
    <cellStyle name="Normal 4 6 2 2 2 2 3 2" xfId="13634" xr:uid="{FC98A5FC-3C8D-47BA-8BE0-F6710932954B}"/>
    <cellStyle name="Normal 4 6 2 2 2 2 3 3" xfId="22081" xr:uid="{D7626263-0584-40A1-8CEF-767E9007301C}"/>
    <cellStyle name="Normal 4 6 2 2 2 2 4" xfId="9416" xr:uid="{01A3E5DA-3F5C-4A5B-A83C-DB6CE8336F4E}"/>
    <cellStyle name="Normal 4 6 2 2 2 2 5" xfId="17864" xr:uid="{E9B5D645-CB11-460D-A148-169E51986A88}"/>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2 2 2" xfId="16192" xr:uid="{731BAA1B-15C5-4CBC-BD1C-40957D83FC01}"/>
    <cellStyle name="Normal 4 6 2 2 2 3 2 2 3" xfId="24639" xr:uid="{2112A891-C886-48D8-BA32-A4EFC76412DC}"/>
    <cellStyle name="Normal 4 6 2 2 2 3 2 3" xfId="11974" xr:uid="{BB5E7718-C5A0-472B-BA63-E1B5F712BDD0}"/>
    <cellStyle name="Normal 4 6 2 2 2 3 2 4" xfId="20422" xr:uid="{46182F59-01A1-45E6-A9FF-6A0A94879BF6}"/>
    <cellStyle name="Normal 4 6 2 2 2 3 3" xfId="5597" xr:uid="{00000000-0005-0000-0000-00000D160000}"/>
    <cellStyle name="Normal 4 6 2 2 2 3 3 2" xfId="14047" xr:uid="{70562F4C-CCCE-4983-8BCF-D190B6811BA0}"/>
    <cellStyle name="Normal 4 6 2 2 2 3 3 3" xfId="22494" xr:uid="{0FD03F57-9947-45D2-A938-CD8E7C9B258A}"/>
    <cellStyle name="Normal 4 6 2 2 2 3 4" xfId="9829" xr:uid="{3ECB9F9B-2186-4323-9114-FB56112A0CB3}"/>
    <cellStyle name="Normal 4 6 2 2 2 3 5" xfId="18277" xr:uid="{B20FD9FB-5A20-4DFD-84F6-37F8276005E6}"/>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2 2 2" xfId="16605" xr:uid="{990466D6-17AF-4C69-856B-9B85FE711229}"/>
    <cellStyle name="Normal 4 6 2 2 2 4 2 2 3" xfId="25052" xr:uid="{F81454B1-EE1B-4805-B507-A7390722151F}"/>
    <cellStyle name="Normal 4 6 2 2 2 4 2 3" xfId="12387" xr:uid="{3F6DEA5F-796A-4BF1-A29C-752F8345F4DE}"/>
    <cellStyle name="Normal 4 6 2 2 2 4 2 4" xfId="20835" xr:uid="{C5E5E500-D244-4666-A53D-BFF3A7041D39}"/>
    <cellStyle name="Normal 4 6 2 2 2 4 3" xfId="6010" xr:uid="{00000000-0005-0000-0000-000011160000}"/>
    <cellStyle name="Normal 4 6 2 2 2 4 3 2" xfId="14460" xr:uid="{427582BF-B943-43ED-A4A1-47B65213B468}"/>
    <cellStyle name="Normal 4 6 2 2 2 4 3 3" xfId="22907" xr:uid="{DEAFF1AE-3D6B-43DE-A015-AE7B9119F896}"/>
    <cellStyle name="Normal 4 6 2 2 2 4 4" xfId="10242" xr:uid="{1995BC83-B5CA-46C1-ACD9-DDBB3088572C}"/>
    <cellStyle name="Normal 4 6 2 2 2 4 5" xfId="18690" xr:uid="{82E04078-F905-4F47-8561-9428607B734E}"/>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2 2 2" xfId="17018" xr:uid="{BFC3C6CB-D377-4FBD-A3E9-7567F37B5F45}"/>
    <cellStyle name="Normal 4 6 2 2 2 5 2 2 3" xfId="25465" xr:uid="{B30FF439-83E9-49D8-B887-9F9658D34A53}"/>
    <cellStyle name="Normal 4 6 2 2 2 5 2 3" xfId="12800" xr:uid="{89DDFB56-0875-46B2-A7C9-D7ACED7BE694}"/>
    <cellStyle name="Normal 4 6 2 2 2 5 2 4" xfId="21248" xr:uid="{37739FBD-C1A4-4A24-AC4C-5FE583B101F7}"/>
    <cellStyle name="Normal 4 6 2 2 2 5 3" xfId="6423" xr:uid="{00000000-0005-0000-0000-000015160000}"/>
    <cellStyle name="Normal 4 6 2 2 2 5 3 2" xfId="14873" xr:uid="{2546642B-D333-4068-8079-C8BEF73B0D96}"/>
    <cellStyle name="Normal 4 6 2 2 2 5 3 3" xfId="23320" xr:uid="{65182869-E173-4A24-994F-120266DD5B25}"/>
    <cellStyle name="Normal 4 6 2 2 2 5 4" xfId="10655" xr:uid="{C4C6AA4D-BE6F-464E-8869-09D930174EBF}"/>
    <cellStyle name="Normal 4 6 2 2 2 5 5" xfId="19103" xr:uid="{A75E5ED6-3ACA-421F-8699-17DB960B2E70}"/>
    <cellStyle name="Normal 4 6 2 2 2 6" xfId="2553" xr:uid="{00000000-0005-0000-0000-000016160000}"/>
    <cellStyle name="Normal 4 6 2 2 2 6 2" xfId="6836" xr:uid="{00000000-0005-0000-0000-000017160000}"/>
    <cellStyle name="Normal 4 6 2 2 2 6 2 2" xfId="15286" xr:uid="{6D4B008E-9057-4601-BBAB-A0060329FEA5}"/>
    <cellStyle name="Normal 4 6 2 2 2 6 2 3" xfId="23733" xr:uid="{8A7F6B68-5B88-4A0E-9004-7077DB56C19E}"/>
    <cellStyle name="Normal 4 6 2 2 2 6 3" xfId="11068" xr:uid="{29724EB8-646F-4252-9452-DF9BA83B4E3C}"/>
    <cellStyle name="Normal 4 6 2 2 2 6 4" xfId="19516" xr:uid="{161B8E33-809B-47E1-94B9-9B44BE9C8031}"/>
    <cellStyle name="Normal 4 6 2 2 2 7" xfId="4771" xr:uid="{00000000-0005-0000-0000-000018160000}"/>
    <cellStyle name="Normal 4 6 2 2 2 7 2" xfId="13221" xr:uid="{99FDCCB0-04D5-4477-9835-3236D0197457}"/>
    <cellStyle name="Normal 4 6 2 2 2 7 3" xfId="21668" xr:uid="{5898D3CB-ABCC-44E7-BACC-6E0F65AB4148}"/>
    <cellStyle name="Normal 4 6 2 2 2 8" xfId="9003" xr:uid="{6193BA2B-17E7-4E22-B96D-EBFF5DC6A09D}"/>
    <cellStyle name="Normal 4 6 2 2 2 9" xfId="17451" xr:uid="{B2A91A14-5984-4205-83B2-3573E62F8E90}"/>
    <cellStyle name="Normal 4 6 2 2 3" xfId="871" xr:uid="{00000000-0005-0000-0000-000019160000}"/>
    <cellStyle name="Normal 4 6 2 2 3 2" xfId="3106" xr:uid="{00000000-0005-0000-0000-00001A160000}"/>
    <cellStyle name="Normal 4 6 2 2 3 2 2" xfId="7328" xr:uid="{00000000-0005-0000-0000-00001B160000}"/>
    <cellStyle name="Normal 4 6 2 2 3 2 2 2" xfId="15778" xr:uid="{BEC08BDF-E882-4C23-A9E4-FF54CFBDEFB8}"/>
    <cellStyle name="Normal 4 6 2 2 3 2 2 3" xfId="24225" xr:uid="{EB4014E0-E03B-4570-8CBD-81299F1EFC9A}"/>
    <cellStyle name="Normal 4 6 2 2 3 2 3" xfId="11560" xr:uid="{CE652CAF-7451-432C-9861-ED3EC3BE385B}"/>
    <cellStyle name="Normal 4 6 2 2 3 2 4" xfId="20008" xr:uid="{035CF2E0-BE64-4992-B3CC-2FD32ECAB234}"/>
    <cellStyle name="Normal 4 6 2 2 3 3" xfId="5183" xr:uid="{00000000-0005-0000-0000-00001C160000}"/>
    <cellStyle name="Normal 4 6 2 2 3 3 2" xfId="13633" xr:uid="{0E18444D-E01F-4BF0-977B-935B6212BB4B}"/>
    <cellStyle name="Normal 4 6 2 2 3 3 3" xfId="22080" xr:uid="{FEB2A74B-13E5-4C18-8A04-DBA9FD914B6B}"/>
    <cellStyle name="Normal 4 6 2 2 3 4" xfId="9415" xr:uid="{13B3CF2F-7714-4BAA-A995-1B6A5DB83163}"/>
    <cellStyle name="Normal 4 6 2 2 3 5" xfId="17863" xr:uid="{4075E98A-9547-461D-9992-8838617E47A7}"/>
    <cellStyle name="Normal 4 6 2 2 4" xfId="1289" xr:uid="{00000000-0005-0000-0000-00001D160000}"/>
    <cellStyle name="Normal 4 6 2 2 4 2" xfId="3519" xr:uid="{00000000-0005-0000-0000-00001E160000}"/>
    <cellStyle name="Normal 4 6 2 2 4 2 2" xfId="7741" xr:uid="{00000000-0005-0000-0000-00001F160000}"/>
    <cellStyle name="Normal 4 6 2 2 4 2 2 2" xfId="16191" xr:uid="{809E8567-C211-4D8C-9845-F02F64F084F3}"/>
    <cellStyle name="Normal 4 6 2 2 4 2 2 3" xfId="24638" xr:uid="{CA2E1299-77D3-47EA-BC1E-8A802FE06C1F}"/>
    <cellStyle name="Normal 4 6 2 2 4 2 3" xfId="11973" xr:uid="{8EA3881A-4587-45BF-B2FC-549FC645AC8F}"/>
    <cellStyle name="Normal 4 6 2 2 4 2 4" xfId="20421" xr:uid="{4899028F-11B3-47CB-9279-C9038939FFBB}"/>
    <cellStyle name="Normal 4 6 2 2 4 3" xfId="5596" xr:uid="{00000000-0005-0000-0000-000020160000}"/>
    <cellStyle name="Normal 4 6 2 2 4 3 2" xfId="14046" xr:uid="{630389A2-917D-4DAD-A8A0-960C9D5F6F7D}"/>
    <cellStyle name="Normal 4 6 2 2 4 3 3" xfId="22493" xr:uid="{41E6E1DB-6249-4B8C-B734-4574762FEEB4}"/>
    <cellStyle name="Normal 4 6 2 2 4 4" xfId="9828" xr:uid="{54389F22-4E78-4C3E-9961-7F77950EEEB7}"/>
    <cellStyle name="Normal 4 6 2 2 4 5" xfId="18276" xr:uid="{043324F9-2DE5-44E6-B656-EE111222EAE6}"/>
    <cellStyle name="Normal 4 6 2 2 5" xfId="1702" xr:uid="{00000000-0005-0000-0000-000021160000}"/>
    <cellStyle name="Normal 4 6 2 2 5 2" xfId="3932" xr:uid="{00000000-0005-0000-0000-000022160000}"/>
    <cellStyle name="Normal 4 6 2 2 5 2 2" xfId="8154" xr:uid="{00000000-0005-0000-0000-000023160000}"/>
    <cellStyle name="Normal 4 6 2 2 5 2 2 2" xfId="16604" xr:uid="{7F876696-254F-42F9-8A57-A7BBD5FA6730}"/>
    <cellStyle name="Normal 4 6 2 2 5 2 2 3" xfId="25051" xr:uid="{293BE7B8-6DE3-4F2C-9C31-AF1D4702DC4F}"/>
    <cellStyle name="Normal 4 6 2 2 5 2 3" xfId="12386" xr:uid="{55C261D7-94E5-4867-90AC-8B0FD2C3BF86}"/>
    <cellStyle name="Normal 4 6 2 2 5 2 4" xfId="20834" xr:uid="{6F4B2C25-25D1-46F2-808F-06FB94E1C36C}"/>
    <cellStyle name="Normal 4 6 2 2 5 3" xfId="6009" xr:uid="{00000000-0005-0000-0000-000024160000}"/>
    <cellStyle name="Normal 4 6 2 2 5 3 2" xfId="14459" xr:uid="{9900244C-D106-4184-8F50-4EB39C46D1B6}"/>
    <cellStyle name="Normal 4 6 2 2 5 3 3" xfId="22906" xr:uid="{DA2AF585-2AE0-4D36-8B84-86A5164B6D2E}"/>
    <cellStyle name="Normal 4 6 2 2 5 4" xfId="10241" xr:uid="{CDA72697-6755-4ADA-9195-264E03089909}"/>
    <cellStyle name="Normal 4 6 2 2 5 5" xfId="18689" xr:uid="{B92B6671-0DA5-4EBC-9ED6-BFF7FA54E17B}"/>
    <cellStyle name="Normal 4 6 2 2 6" xfId="2116" xr:uid="{00000000-0005-0000-0000-000025160000}"/>
    <cellStyle name="Normal 4 6 2 2 6 2" xfId="4345" xr:uid="{00000000-0005-0000-0000-000026160000}"/>
    <cellStyle name="Normal 4 6 2 2 6 2 2" xfId="8567" xr:uid="{00000000-0005-0000-0000-000027160000}"/>
    <cellStyle name="Normal 4 6 2 2 6 2 2 2" xfId="17017" xr:uid="{F5AFC608-54B7-46A5-B410-41DB162E779E}"/>
    <cellStyle name="Normal 4 6 2 2 6 2 2 3" xfId="25464" xr:uid="{D0FEACCD-D4AB-427B-87F8-B0BDBCF13CB0}"/>
    <cellStyle name="Normal 4 6 2 2 6 2 3" xfId="12799" xr:uid="{E34B89FD-180F-4311-B17A-2A27194744C1}"/>
    <cellStyle name="Normal 4 6 2 2 6 2 4" xfId="21247" xr:uid="{636A618E-B090-45CD-9B5A-76860FB5EAF1}"/>
    <cellStyle name="Normal 4 6 2 2 6 3" xfId="6422" xr:uid="{00000000-0005-0000-0000-000028160000}"/>
    <cellStyle name="Normal 4 6 2 2 6 3 2" xfId="14872" xr:uid="{871C8114-E629-432C-A276-55D05B73FE56}"/>
    <cellStyle name="Normal 4 6 2 2 6 3 3" xfId="23319" xr:uid="{ABE893EE-4171-4E8B-846B-998A7A0B57E8}"/>
    <cellStyle name="Normal 4 6 2 2 6 4" xfId="10654" xr:uid="{43FC4D94-88BC-429A-9ED7-4DAD6E9640A2}"/>
    <cellStyle name="Normal 4 6 2 2 6 5" xfId="19102" xr:uid="{91E14C6C-8F54-4710-9EBB-FB65EC0328D0}"/>
    <cellStyle name="Normal 4 6 2 2 7" xfId="2552" xr:uid="{00000000-0005-0000-0000-000029160000}"/>
    <cellStyle name="Normal 4 6 2 2 7 2" xfId="6835" xr:uid="{00000000-0005-0000-0000-00002A160000}"/>
    <cellStyle name="Normal 4 6 2 2 7 2 2" xfId="15285" xr:uid="{CAE7D81A-0430-4D1D-B34D-CCED707ED986}"/>
    <cellStyle name="Normal 4 6 2 2 7 2 3" xfId="23732" xr:uid="{00A1E206-A6DA-41B5-BC0A-5CF5D536A6F2}"/>
    <cellStyle name="Normal 4 6 2 2 7 3" xfId="11067" xr:uid="{FFFAD46F-7B32-4358-9881-35534FF3BD8B}"/>
    <cellStyle name="Normal 4 6 2 2 7 4" xfId="19515" xr:uid="{597EA9DE-6E4A-4797-8BBC-5C29D041BF55}"/>
    <cellStyle name="Normal 4 6 2 2 8" xfId="4770" xr:uid="{00000000-0005-0000-0000-00002B160000}"/>
    <cellStyle name="Normal 4 6 2 2 8 2" xfId="13220" xr:uid="{B4C4A95F-1668-461D-831C-CA961CDF7D03}"/>
    <cellStyle name="Normal 4 6 2 2 8 3" xfId="21667" xr:uid="{6CA1A5D6-4209-4938-87E9-7C5FD710FFD3}"/>
    <cellStyle name="Normal 4 6 2 2 9" xfId="9002" xr:uid="{926EB9FD-EB7B-4A52-BAC8-F737C4658394}"/>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2 2 2" xfId="15780" xr:uid="{23EDCB5B-0B02-4D98-8431-79CA9D396BFD}"/>
    <cellStyle name="Normal 4 6 2 3 2 2 2 3" xfId="24227" xr:uid="{51979931-25A8-4DF7-BD30-12D2A9E536D9}"/>
    <cellStyle name="Normal 4 6 2 3 2 2 3" xfId="11562" xr:uid="{8E54280C-3AE9-429A-BAAB-D8395B87E55B}"/>
    <cellStyle name="Normal 4 6 2 3 2 2 4" xfId="20010" xr:uid="{CA2F8476-30B8-416C-B430-BD68FFECB59C}"/>
    <cellStyle name="Normal 4 6 2 3 2 3" xfId="5185" xr:uid="{00000000-0005-0000-0000-000030160000}"/>
    <cellStyle name="Normal 4 6 2 3 2 3 2" xfId="13635" xr:uid="{78B24ECD-8D65-46A8-B920-8917ED8316A1}"/>
    <cellStyle name="Normal 4 6 2 3 2 3 3" xfId="22082" xr:uid="{7F74356F-3B9C-4229-9440-20AE44F99F2A}"/>
    <cellStyle name="Normal 4 6 2 3 2 4" xfId="9417" xr:uid="{60B21C63-6150-42AF-B63A-8910E5C42B08}"/>
    <cellStyle name="Normal 4 6 2 3 2 5" xfId="17865" xr:uid="{B84BAFC8-2013-4558-A7DA-D27ABC99349D}"/>
    <cellStyle name="Normal 4 6 2 3 3" xfId="1291" xr:uid="{00000000-0005-0000-0000-000031160000}"/>
    <cellStyle name="Normal 4 6 2 3 3 2" xfId="3521" xr:uid="{00000000-0005-0000-0000-000032160000}"/>
    <cellStyle name="Normal 4 6 2 3 3 2 2" xfId="7743" xr:uid="{00000000-0005-0000-0000-000033160000}"/>
    <cellStyle name="Normal 4 6 2 3 3 2 2 2" xfId="16193" xr:uid="{93642D70-F99A-44FF-844F-70D16187B50A}"/>
    <cellStyle name="Normal 4 6 2 3 3 2 2 3" xfId="24640" xr:uid="{33065421-B893-4C3B-A8A0-0F7AC2D0431E}"/>
    <cellStyle name="Normal 4 6 2 3 3 2 3" xfId="11975" xr:uid="{5D6FA646-9693-4308-A052-BBA19A1D9379}"/>
    <cellStyle name="Normal 4 6 2 3 3 2 4" xfId="20423" xr:uid="{0FDE241B-1086-4959-802F-6C3C8B42C4D9}"/>
    <cellStyle name="Normal 4 6 2 3 3 3" xfId="5598" xr:uid="{00000000-0005-0000-0000-000034160000}"/>
    <cellStyle name="Normal 4 6 2 3 3 3 2" xfId="14048" xr:uid="{7737E5BB-437E-4875-A288-D755BA0BAE16}"/>
    <cellStyle name="Normal 4 6 2 3 3 3 3" xfId="22495" xr:uid="{C4A36AB7-3EA6-494C-BCCF-474E433CC76E}"/>
    <cellStyle name="Normal 4 6 2 3 3 4" xfId="9830" xr:uid="{5023CFEF-3E69-4FD6-83F7-242EBC87D104}"/>
    <cellStyle name="Normal 4 6 2 3 3 5" xfId="18278" xr:uid="{129BD4CA-93BD-43A7-8F46-BEDC637E3C49}"/>
    <cellStyle name="Normal 4 6 2 3 4" xfId="1704" xr:uid="{00000000-0005-0000-0000-000035160000}"/>
    <cellStyle name="Normal 4 6 2 3 4 2" xfId="3934" xr:uid="{00000000-0005-0000-0000-000036160000}"/>
    <cellStyle name="Normal 4 6 2 3 4 2 2" xfId="8156" xr:uid="{00000000-0005-0000-0000-000037160000}"/>
    <cellStyle name="Normal 4 6 2 3 4 2 2 2" xfId="16606" xr:uid="{24BD3B31-B220-4248-A616-7BFA618C44ED}"/>
    <cellStyle name="Normal 4 6 2 3 4 2 2 3" xfId="25053" xr:uid="{253FFBED-C464-4348-B804-74E74DF701EF}"/>
    <cellStyle name="Normal 4 6 2 3 4 2 3" xfId="12388" xr:uid="{4C5EDB51-C942-4900-9CBE-63FA4C6CB70B}"/>
    <cellStyle name="Normal 4 6 2 3 4 2 4" xfId="20836" xr:uid="{60EB703E-F7BB-4C34-B9B7-8782ABEA036A}"/>
    <cellStyle name="Normal 4 6 2 3 4 3" xfId="6011" xr:uid="{00000000-0005-0000-0000-000038160000}"/>
    <cellStyle name="Normal 4 6 2 3 4 3 2" xfId="14461" xr:uid="{50E17AA5-9949-46E3-A4DC-A9726CA2511F}"/>
    <cellStyle name="Normal 4 6 2 3 4 3 3" xfId="22908" xr:uid="{957038B0-1F80-4E70-93D8-5355FD8F90CD}"/>
    <cellStyle name="Normal 4 6 2 3 4 4" xfId="10243" xr:uid="{1A84625D-92E6-46A7-991B-83AB7E16D25B}"/>
    <cellStyle name="Normal 4 6 2 3 4 5" xfId="18691" xr:uid="{A813A544-5B4C-4111-BE70-490C99E58149}"/>
    <cellStyle name="Normal 4 6 2 3 5" xfId="2118" xr:uid="{00000000-0005-0000-0000-000039160000}"/>
    <cellStyle name="Normal 4 6 2 3 5 2" xfId="4347" xr:uid="{00000000-0005-0000-0000-00003A160000}"/>
    <cellStyle name="Normal 4 6 2 3 5 2 2" xfId="8569" xr:uid="{00000000-0005-0000-0000-00003B160000}"/>
    <cellStyle name="Normal 4 6 2 3 5 2 2 2" xfId="17019" xr:uid="{0B749324-7417-43C9-9142-82C8993DBBD2}"/>
    <cellStyle name="Normal 4 6 2 3 5 2 2 3" xfId="25466" xr:uid="{7E530956-5F7C-4E50-ADB8-C295AE5CC864}"/>
    <cellStyle name="Normal 4 6 2 3 5 2 3" xfId="12801" xr:uid="{1B590222-FE79-4856-8A28-457F264B51E6}"/>
    <cellStyle name="Normal 4 6 2 3 5 2 4" xfId="21249" xr:uid="{55ACC1B2-C345-4002-A3BA-1CB25815BDA3}"/>
    <cellStyle name="Normal 4 6 2 3 5 3" xfId="6424" xr:uid="{00000000-0005-0000-0000-00003C160000}"/>
    <cellStyle name="Normal 4 6 2 3 5 3 2" xfId="14874" xr:uid="{2A0FEA34-5D81-42C3-8874-81D93EAFE1E0}"/>
    <cellStyle name="Normal 4 6 2 3 5 3 3" xfId="23321" xr:uid="{E89694EC-2EFE-4C53-9611-3FFA56C389FC}"/>
    <cellStyle name="Normal 4 6 2 3 5 4" xfId="10656" xr:uid="{C77B739E-E132-46AD-BEB5-D1A61549D47D}"/>
    <cellStyle name="Normal 4 6 2 3 5 5" xfId="19104" xr:uid="{11CC54F1-F626-4025-BB2D-C11F71F05536}"/>
    <cellStyle name="Normal 4 6 2 3 6" xfId="2554" xr:uid="{00000000-0005-0000-0000-00003D160000}"/>
    <cellStyle name="Normal 4 6 2 3 6 2" xfId="6837" xr:uid="{00000000-0005-0000-0000-00003E160000}"/>
    <cellStyle name="Normal 4 6 2 3 6 2 2" xfId="15287" xr:uid="{F9D84647-7127-4B79-B557-495A8652BC34}"/>
    <cellStyle name="Normal 4 6 2 3 6 2 3" xfId="23734" xr:uid="{99488CE6-F610-454E-BD91-8B4BDE85494C}"/>
    <cellStyle name="Normal 4 6 2 3 6 3" xfId="11069" xr:uid="{8C53C278-2517-4C40-944A-F90B190A5116}"/>
    <cellStyle name="Normal 4 6 2 3 6 4" xfId="19517" xr:uid="{7010E512-DD67-4B40-941C-E7AD070176F0}"/>
    <cellStyle name="Normal 4 6 2 3 7" xfId="4772" xr:uid="{00000000-0005-0000-0000-00003F160000}"/>
    <cellStyle name="Normal 4 6 2 3 7 2" xfId="13222" xr:uid="{A1815F47-C260-4465-9BD2-BFABBE3FFDB6}"/>
    <cellStyle name="Normal 4 6 2 3 7 3" xfId="21669" xr:uid="{473E6821-852B-4FF8-B8A5-FCCCF7FBB6FA}"/>
    <cellStyle name="Normal 4 6 2 3 8" xfId="9004" xr:uid="{1F501F76-1424-49A1-AFDB-9B48602F1C4A}"/>
    <cellStyle name="Normal 4 6 2 3 9" xfId="17452" xr:uid="{B5AD1A4B-341A-46FA-9307-03382D76C81C}"/>
    <cellStyle name="Normal 4 6 2 4" xfId="870" xr:uid="{00000000-0005-0000-0000-000040160000}"/>
    <cellStyle name="Normal 4 6 2 4 2" xfId="3105" xr:uid="{00000000-0005-0000-0000-000041160000}"/>
    <cellStyle name="Normal 4 6 2 4 2 2" xfId="7327" xr:uid="{00000000-0005-0000-0000-000042160000}"/>
    <cellStyle name="Normal 4 6 2 4 2 2 2" xfId="15777" xr:uid="{70CBFEBF-17CA-47B1-A68A-1FDABD41F1D4}"/>
    <cellStyle name="Normal 4 6 2 4 2 2 3" xfId="24224" xr:uid="{66975B09-F62E-4A7F-BFA6-247D41360AE6}"/>
    <cellStyle name="Normal 4 6 2 4 2 3" xfId="11559" xr:uid="{831AC2ED-8D70-415A-A2F0-24B2CD447EF4}"/>
    <cellStyle name="Normal 4 6 2 4 2 4" xfId="20007" xr:uid="{CAAD3E77-84CD-4690-9C65-7D30A5D3BF71}"/>
    <cellStyle name="Normal 4 6 2 4 3" xfId="5182" xr:uid="{00000000-0005-0000-0000-000043160000}"/>
    <cellStyle name="Normal 4 6 2 4 3 2" xfId="13632" xr:uid="{CE117116-8E27-4807-8CF4-2D100FDCCA89}"/>
    <cellStyle name="Normal 4 6 2 4 3 3" xfId="22079" xr:uid="{6C6AD049-2EF0-4C06-BCFD-716D63DF6524}"/>
    <cellStyle name="Normal 4 6 2 4 4" xfId="9414" xr:uid="{035A37C5-E63A-4C7F-95FB-806B78B0BE80}"/>
    <cellStyle name="Normal 4 6 2 4 5" xfId="17862" xr:uid="{CFE57751-9C34-4512-B8E1-E605297B47DA}"/>
    <cellStyle name="Normal 4 6 2 5" xfId="1288" xr:uid="{00000000-0005-0000-0000-000044160000}"/>
    <cellStyle name="Normal 4 6 2 5 2" xfId="3518" xr:uid="{00000000-0005-0000-0000-000045160000}"/>
    <cellStyle name="Normal 4 6 2 5 2 2" xfId="7740" xr:uid="{00000000-0005-0000-0000-000046160000}"/>
    <cellStyle name="Normal 4 6 2 5 2 2 2" xfId="16190" xr:uid="{757F784E-7CEA-4038-BC15-F41FC42FA100}"/>
    <cellStyle name="Normal 4 6 2 5 2 2 3" xfId="24637" xr:uid="{E313466C-1E45-4824-99D2-7F991A955419}"/>
    <cellStyle name="Normal 4 6 2 5 2 3" xfId="11972" xr:uid="{97B9E48A-ACB9-44D0-AACF-640092F8781B}"/>
    <cellStyle name="Normal 4 6 2 5 2 4" xfId="20420" xr:uid="{7C7116C2-7700-462D-B75A-A67FCA7A7226}"/>
    <cellStyle name="Normal 4 6 2 5 3" xfId="5595" xr:uid="{00000000-0005-0000-0000-000047160000}"/>
    <cellStyle name="Normal 4 6 2 5 3 2" xfId="14045" xr:uid="{17D09667-95E1-4CB3-8C52-C43288476B9C}"/>
    <cellStyle name="Normal 4 6 2 5 3 3" xfId="22492" xr:uid="{6FB30ADE-1B89-4821-B9C2-5318196660C5}"/>
    <cellStyle name="Normal 4 6 2 5 4" xfId="9827" xr:uid="{476A1CD1-62D5-40FA-9AE6-BD1C754B26A4}"/>
    <cellStyle name="Normal 4 6 2 5 5" xfId="18275" xr:uid="{DA27FA16-7B05-4A48-92D9-675D6F90B842}"/>
    <cellStyle name="Normal 4 6 2 6" xfId="1701" xr:uid="{00000000-0005-0000-0000-000048160000}"/>
    <cellStyle name="Normal 4 6 2 6 2" xfId="3931" xr:uid="{00000000-0005-0000-0000-000049160000}"/>
    <cellStyle name="Normal 4 6 2 6 2 2" xfId="8153" xr:uid="{00000000-0005-0000-0000-00004A160000}"/>
    <cellStyle name="Normal 4 6 2 6 2 2 2" xfId="16603" xr:uid="{79B3D989-55CE-4E6C-8612-8B8DE0B3A350}"/>
    <cellStyle name="Normal 4 6 2 6 2 2 3" xfId="25050" xr:uid="{7997F43E-3011-4553-9116-9A3C1D144DA7}"/>
    <cellStyle name="Normal 4 6 2 6 2 3" xfId="12385" xr:uid="{6E01AECF-6F58-405A-993E-18837DB00A7D}"/>
    <cellStyle name="Normal 4 6 2 6 2 4" xfId="20833" xr:uid="{1CF2E9BC-9D70-42BF-9ED9-54063845C378}"/>
    <cellStyle name="Normal 4 6 2 6 3" xfId="6008" xr:uid="{00000000-0005-0000-0000-00004B160000}"/>
    <cellStyle name="Normal 4 6 2 6 3 2" xfId="14458" xr:uid="{AAA08E22-EE35-481F-AC3A-2A606D7BB428}"/>
    <cellStyle name="Normal 4 6 2 6 3 3" xfId="22905" xr:uid="{FDAEA5D7-406C-4873-B2A8-D82D2EA2A71D}"/>
    <cellStyle name="Normal 4 6 2 6 4" xfId="10240" xr:uid="{8F4B6AFF-506F-40DA-9CE8-AE293301625F}"/>
    <cellStyle name="Normal 4 6 2 6 5" xfId="18688" xr:uid="{E5D76BE7-115E-4AAC-828E-000807193EA7}"/>
    <cellStyle name="Normal 4 6 2 7" xfId="2115" xr:uid="{00000000-0005-0000-0000-00004C160000}"/>
    <cellStyle name="Normal 4 6 2 7 2" xfId="4344" xr:uid="{00000000-0005-0000-0000-00004D160000}"/>
    <cellStyle name="Normal 4 6 2 7 2 2" xfId="8566" xr:uid="{00000000-0005-0000-0000-00004E160000}"/>
    <cellStyle name="Normal 4 6 2 7 2 2 2" xfId="17016" xr:uid="{3E25E17C-DD73-45CD-B09B-8F90407A893B}"/>
    <cellStyle name="Normal 4 6 2 7 2 2 3" xfId="25463" xr:uid="{2F68A0FD-58C2-419D-A3FF-8520F5283CD2}"/>
    <cellStyle name="Normal 4 6 2 7 2 3" xfId="12798" xr:uid="{2C10B074-C4B9-42E7-B0AC-DC15E5FC5413}"/>
    <cellStyle name="Normal 4 6 2 7 2 4" xfId="21246" xr:uid="{DF2B0BAE-F566-4B44-8893-81F45FF9726F}"/>
    <cellStyle name="Normal 4 6 2 7 3" xfId="6421" xr:uid="{00000000-0005-0000-0000-00004F160000}"/>
    <cellStyle name="Normal 4 6 2 7 3 2" xfId="14871" xr:uid="{89F1165B-592A-4F5A-8C44-BF9ACCEE94F5}"/>
    <cellStyle name="Normal 4 6 2 7 3 3" xfId="23318" xr:uid="{764E0442-0318-4313-8F6B-4EF4D6F5D8E6}"/>
    <cellStyle name="Normal 4 6 2 7 4" xfId="10653" xr:uid="{4585A6F7-371F-41F0-BB90-6B9CBE2E56FD}"/>
    <cellStyle name="Normal 4 6 2 7 5" xfId="19101" xr:uid="{865B7340-56BE-499C-A899-7D1832883F00}"/>
    <cellStyle name="Normal 4 6 2 8" xfId="2551" xr:uid="{00000000-0005-0000-0000-000050160000}"/>
    <cellStyle name="Normal 4 6 2 8 2" xfId="6834" xr:uid="{00000000-0005-0000-0000-000051160000}"/>
    <cellStyle name="Normal 4 6 2 8 2 2" xfId="15284" xr:uid="{D65E3B1E-A07A-498C-988E-641F7F9C6483}"/>
    <cellStyle name="Normal 4 6 2 8 2 3" xfId="23731" xr:uid="{70B3E243-4878-4B03-AEAA-2191B3B132C7}"/>
    <cellStyle name="Normal 4 6 2 8 3" xfId="11066" xr:uid="{FDFFBA85-EDFA-45CC-BBC1-89334A0B4039}"/>
    <cellStyle name="Normal 4 6 2 8 4" xfId="19514" xr:uid="{F74325D5-600D-48F0-A899-BEACC1D83C0D}"/>
    <cellStyle name="Normal 4 6 2 9" xfId="4769" xr:uid="{00000000-0005-0000-0000-000052160000}"/>
    <cellStyle name="Normal 4 6 2 9 2" xfId="13219" xr:uid="{5AE88DC0-E573-4EEB-915D-0F8D58C49500}"/>
    <cellStyle name="Normal 4 6 2 9 3" xfId="21666" xr:uid="{A74D2B74-BD2B-4781-BCAE-AC3AF187900E}"/>
    <cellStyle name="Normal 4 6 3" xfId="400" xr:uid="{00000000-0005-0000-0000-000053160000}"/>
    <cellStyle name="Normal 4 6 3 10" xfId="17453" xr:uid="{FCD5412A-7A22-4B65-ABA0-DE56DAF2A213}"/>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2 2 2" xfId="15782" xr:uid="{EE0275CE-321F-4D05-A73A-0A2E38D82280}"/>
    <cellStyle name="Normal 4 6 3 2 2 2 2 3" xfId="24229" xr:uid="{512C97FE-87AF-4CD7-9E17-102EB905C9B4}"/>
    <cellStyle name="Normal 4 6 3 2 2 2 3" xfId="11564" xr:uid="{A34B42D0-D2A3-4788-8B27-E73E7C601334}"/>
    <cellStyle name="Normal 4 6 3 2 2 2 4" xfId="20012" xr:uid="{49EB466A-D28E-4755-8294-291BB5AC5728}"/>
    <cellStyle name="Normal 4 6 3 2 2 3" xfId="5187" xr:uid="{00000000-0005-0000-0000-000058160000}"/>
    <cellStyle name="Normal 4 6 3 2 2 3 2" xfId="13637" xr:uid="{78769316-04EE-45B0-9FD6-02E4AF8AC4A9}"/>
    <cellStyle name="Normal 4 6 3 2 2 3 3" xfId="22084" xr:uid="{60793FB2-92B6-42F6-8A78-FE0C228147A2}"/>
    <cellStyle name="Normal 4 6 3 2 2 4" xfId="9419" xr:uid="{9AF19346-9C8B-4407-AEEE-6FFED6627445}"/>
    <cellStyle name="Normal 4 6 3 2 2 5" xfId="17867" xr:uid="{1A9EF10C-399B-404C-A68C-A501E8B5C4E4}"/>
    <cellStyle name="Normal 4 6 3 2 3" xfId="1293" xr:uid="{00000000-0005-0000-0000-000059160000}"/>
    <cellStyle name="Normal 4 6 3 2 3 2" xfId="3523" xr:uid="{00000000-0005-0000-0000-00005A160000}"/>
    <cellStyle name="Normal 4 6 3 2 3 2 2" xfId="7745" xr:uid="{00000000-0005-0000-0000-00005B160000}"/>
    <cellStyle name="Normal 4 6 3 2 3 2 2 2" xfId="16195" xr:uid="{E8185483-EFBB-4AF2-BBE3-707C2B60F9D0}"/>
    <cellStyle name="Normal 4 6 3 2 3 2 2 3" xfId="24642" xr:uid="{6A87C965-6EF5-4A4C-96E0-43B91F414662}"/>
    <cellStyle name="Normal 4 6 3 2 3 2 3" xfId="11977" xr:uid="{9B1B10B8-2EA5-43EE-8782-E7530974456D}"/>
    <cellStyle name="Normal 4 6 3 2 3 2 4" xfId="20425" xr:uid="{865E5D55-CD09-4AE6-AEE6-1EFA25B8722B}"/>
    <cellStyle name="Normal 4 6 3 2 3 3" xfId="5600" xr:uid="{00000000-0005-0000-0000-00005C160000}"/>
    <cellStyle name="Normal 4 6 3 2 3 3 2" xfId="14050" xr:uid="{EF0C39E6-BBCB-417A-91F2-789F59222D5E}"/>
    <cellStyle name="Normal 4 6 3 2 3 3 3" xfId="22497" xr:uid="{9CD241CB-C438-47DF-8522-9657B00DB5B4}"/>
    <cellStyle name="Normal 4 6 3 2 3 4" xfId="9832" xr:uid="{53B080F1-4CC6-4E08-B9E1-C26E4626FAEA}"/>
    <cellStyle name="Normal 4 6 3 2 3 5" xfId="18280" xr:uid="{0E8AA660-2F24-48E0-9774-39C3BF5DFB62}"/>
    <cellStyle name="Normal 4 6 3 2 4" xfId="1706" xr:uid="{00000000-0005-0000-0000-00005D160000}"/>
    <cellStyle name="Normal 4 6 3 2 4 2" xfId="3936" xr:uid="{00000000-0005-0000-0000-00005E160000}"/>
    <cellStyle name="Normal 4 6 3 2 4 2 2" xfId="8158" xr:uid="{00000000-0005-0000-0000-00005F160000}"/>
    <cellStyle name="Normal 4 6 3 2 4 2 2 2" xfId="16608" xr:uid="{0732FFC7-31C6-4E39-9743-ADABFAC40F2E}"/>
    <cellStyle name="Normal 4 6 3 2 4 2 2 3" xfId="25055" xr:uid="{638DAD22-5213-4D49-9C34-E67AD991CADC}"/>
    <cellStyle name="Normal 4 6 3 2 4 2 3" xfId="12390" xr:uid="{4542614B-A651-4A33-96C2-3A7635304FAC}"/>
    <cellStyle name="Normal 4 6 3 2 4 2 4" xfId="20838" xr:uid="{84B8161A-DCC6-4FB2-B4E8-29F6093DBC88}"/>
    <cellStyle name="Normal 4 6 3 2 4 3" xfId="6013" xr:uid="{00000000-0005-0000-0000-000060160000}"/>
    <cellStyle name="Normal 4 6 3 2 4 3 2" xfId="14463" xr:uid="{7C4F3155-C611-4661-957A-F13AAC40D514}"/>
    <cellStyle name="Normal 4 6 3 2 4 3 3" xfId="22910" xr:uid="{3613F45D-2946-4E89-8F94-220DF550C0AF}"/>
    <cellStyle name="Normal 4 6 3 2 4 4" xfId="10245" xr:uid="{F0599AB5-DB8B-413F-AC3A-117DD993964B}"/>
    <cellStyle name="Normal 4 6 3 2 4 5" xfId="18693" xr:uid="{F7B7DEDD-44E6-4DE5-9006-8BE90667E5DC}"/>
    <cellStyle name="Normal 4 6 3 2 5" xfId="2120" xr:uid="{00000000-0005-0000-0000-000061160000}"/>
    <cellStyle name="Normal 4 6 3 2 5 2" xfId="4349" xr:uid="{00000000-0005-0000-0000-000062160000}"/>
    <cellStyle name="Normal 4 6 3 2 5 2 2" xfId="8571" xr:uid="{00000000-0005-0000-0000-000063160000}"/>
    <cellStyle name="Normal 4 6 3 2 5 2 2 2" xfId="17021" xr:uid="{F9757C64-7E28-4E3C-A350-ECCB25F8657A}"/>
    <cellStyle name="Normal 4 6 3 2 5 2 2 3" xfId="25468" xr:uid="{35D2BC33-A7C7-44E9-90A4-8F3DF01A20BE}"/>
    <cellStyle name="Normal 4 6 3 2 5 2 3" xfId="12803" xr:uid="{521896F7-6816-4970-9A4F-C260398C2B2B}"/>
    <cellStyle name="Normal 4 6 3 2 5 2 4" xfId="21251" xr:uid="{8F54D96F-9809-4CBA-A053-EDFF0C24181F}"/>
    <cellStyle name="Normal 4 6 3 2 5 3" xfId="6426" xr:uid="{00000000-0005-0000-0000-000064160000}"/>
    <cellStyle name="Normal 4 6 3 2 5 3 2" xfId="14876" xr:uid="{9A9F96E4-138E-4137-AC10-E6C97B4EC534}"/>
    <cellStyle name="Normal 4 6 3 2 5 3 3" xfId="23323" xr:uid="{8E9966F1-0C83-4C57-B351-7F5B8C9D7325}"/>
    <cellStyle name="Normal 4 6 3 2 5 4" xfId="10658" xr:uid="{05556183-E012-48D2-AE83-D80394E9CA86}"/>
    <cellStyle name="Normal 4 6 3 2 5 5" xfId="19106" xr:uid="{65F12693-3699-486D-BEA7-CF7F9AE17290}"/>
    <cellStyle name="Normal 4 6 3 2 6" xfId="2556" xr:uid="{00000000-0005-0000-0000-000065160000}"/>
    <cellStyle name="Normal 4 6 3 2 6 2" xfId="6839" xr:uid="{00000000-0005-0000-0000-000066160000}"/>
    <cellStyle name="Normal 4 6 3 2 6 2 2" xfId="15289" xr:uid="{33364BED-003A-4823-B5E1-7756B9332F53}"/>
    <cellStyle name="Normal 4 6 3 2 6 2 3" xfId="23736" xr:uid="{7AF4616E-5F25-433F-8C7D-621E6CCDF7E6}"/>
    <cellStyle name="Normal 4 6 3 2 6 3" xfId="11071" xr:uid="{4C5FB95A-EAE9-431E-A90A-3AD72A829F68}"/>
    <cellStyle name="Normal 4 6 3 2 6 4" xfId="19519" xr:uid="{CA4FFA14-BA4A-4AEC-A575-FA8821931F0E}"/>
    <cellStyle name="Normal 4 6 3 2 7" xfId="4774" xr:uid="{00000000-0005-0000-0000-000067160000}"/>
    <cellStyle name="Normal 4 6 3 2 7 2" xfId="13224" xr:uid="{12116FE7-D991-4772-9317-98056DAEE4B5}"/>
    <cellStyle name="Normal 4 6 3 2 7 3" xfId="21671" xr:uid="{C9C5F4F3-973B-478A-B4EC-595A02AAD092}"/>
    <cellStyle name="Normal 4 6 3 2 8" xfId="9006" xr:uid="{399E30CE-8EBC-430F-BC25-D359838F1C81}"/>
    <cellStyle name="Normal 4 6 3 2 9" xfId="17454" xr:uid="{88FFE9DE-99A6-4F51-B6F1-DB2F0BD3194B}"/>
    <cellStyle name="Normal 4 6 3 3" xfId="874" xr:uid="{00000000-0005-0000-0000-000068160000}"/>
    <cellStyle name="Normal 4 6 3 3 2" xfId="3109" xr:uid="{00000000-0005-0000-0000-000069160000}"/>
    <cellStyle name="Normal 4 6 3 3 2 2" xfId="7331" xr:uid="{00000000-0005-0000-0000-00006A160000}"/>
    <cellStyle name="Normal 4 6 3 3 2 2 2" xfId="15781" xr:uid="{A328DD78-7290-4319-8262-C4E2A8D3357A}"/>
    <cellStyle name="Normal 4 6 3 3 2 2 3" xfId="24228" xr:uid="{6AC8FFEE-25F4-4A43-AD8F-562A6B7CE689}"/>
    <cellStyle name="Normal 4 6 3 3 2 3" xfId="11563" xr:uid="{B92B90AC-C1DE-41CE-9546-6A41B2C27CB3}"/>
    <cellStyle name="Normal 4 6 3 3 2 4" xfId="20011" xr:uid="{ECB32CFC-690D-4E11-92A3-25CAE9329AF3}"/>
    <cellStyle name="Normal 4 6 3 3 3" xfId="5186" xr:uid="{00000000-0005-0000-0000-00006B160000}"/>
    <cellStyle name="Normal 4 6 3 3 3 2" xfId="13636" xr:uid="{EB129131-ADD3-4299-8492-B4EA62BE6C9C}"/>
    <cellStyle name="Normal 4 6 3 3 3 3" xfId="22083" xr:uid="{DC352F3B-4F68-4AD7-A99B-BC582A028D3B}"/>
    <cellStyle name="Normal 4 6 3 3 4" xfId="9418" xr:uid="{7A06971F-026F-416F-AE84-4267CC342F58}"/>
    <cellStyle name="Normal 4 6 3 3 5" xfId="17866" xr:uid="{D7030A71-4CE7-4363-8CF5-07D2AAE50227}"/>
    <cellStyle name="Normal 4 6 3 4" xfId="1292" xr:uid="{00000000-0005-0000-0000-00006C160000}"/>
    <cellStyle name="Normal 4 6 3 4 2" xfId="3522" xr:uid="{00000000-0005-0000-0000-00006D160000}"/>
    <cellStyle name="Normal 4 6 3 4 2 2" xfId="7744" xr:uid="{00000000-0005-0000-0000-00006E160000}"/>
    <cellStyle name="Normal 4 6 3 4 2 2 2" xfId="16194" xr:uid="{5391D39C-D456-4019-A758-D29DFFEDB8A9}"/>
    <cellStyle name="Normal 4 6 3 4 2 2 3" xfId="24641" xr:uid="{2EB73617-1DE1-4C2D-998E-022C7C069EE8}"/>
    <cellStyle name="Normal 4 6 3 4 2 3" xfId="11976" xr:uid="{D831E0DD-1D0F-42F8-87F8-7A3785FF7CB1}"/>
    <cellStyle name="Normal 4 6 3 4 2 4" xfId="20424" xr:uid="{BBB5CE57-17CC-4FC5-9A88-254F1DAC83D7}"/>
    <cellStyle name="Normal 4 6 3 4 3" xfId="5599" xr:uid="{00000000-0005-0000-0000-00006F160000}"/>
    <cellStyle name="Normal 4 6 3 4 3 2" xfId="14049" xr:uid="{6B89FC9E-D65F-473E-9E65-6328077CB8A3}"/>
    <cellStyle name="Normal 4 6 3 4 3 3" xfId="22496" xr:uid="{7A71C735-C266-43A7-9B0C-5129260AD315}"/>
    <cellStyle name="Normal 4 6 3 4 4" xfId="9831" xr:uid="{59CE92FE-9216-407A-91E6-1A006005D18C}"/>
    <cellStyle name="Normal 4 6 3 4 5" xfId="18279" xr:uid="{946325B0-F277-423E-B8A7-4AD376E12746}"/>
    <cellStyle name="Normal 4 6 3 5" xfId="1705" xr:uid="{00000000-0005-0000-0000-000070160000}"/>
    <cellStyle name="Normal 4 6 3 5 2" xfId="3935" xr:uid="{00000000-0005-0000-0000-000071160000}"/>
    <cellStyle name="Normal 4 6 3 5 2 2" xfId="8157" xr:uid="{00000000-0005-0000-0000-000072160000}"/>
    <cellStyle name="Normal 4 6 3 5 2 2 2" xfId="16607" xr:uid="{5690F289-9FE7-447D-B658-CEEEF8E2ECE2}"/>
    <cellStyle name="Normal 4 6 3 5 2 2 3" xfId="25054" xr:uid="{E5C7F81A-EDC6-4893-BBCB-7AC40DDF16A5}"/>
    <cellStyle name="Normal 4 6 3 5 2 3" xfId="12389" xr:uid="{28BFFE5D-BA36-4F9B-9619-2AA3506E1807}"/>
    <cellStyle name="Normal 4 6 3 5 2 4" xfId="20837" xr:uid="{F75EB755-45CF-4E3D-8D76-9431569E3618}"/>
    <cellStyle name="Normal 4 6 3 5 3" xfId="6012" xr:uid="{00000000-0005-0000-0000-000073160000}"/>
    <cellStyle name="Normal 4 6 3 5 3 2" xfId="14462" xr:uid="{B3F4F1A6-379F-4884-A216-D69FF0AFE951}"/>
    <cellStyle name="Normal 4 6 3 5 3 3" xfId="22909" xr:uid="{20242C29-9CA1-4C83-A7EB-9C2B50E20B64}"/>
    <cellStyle name="Normal 4 6 3 5 4" xfId="10244" xr:uid="{6FF268AA-5999-402E-A799-1DE516C3BDB9}"/>
    <cellStyle name="Normal 4 6 3 5 5" xfId="18692" xr:uid="{EAAB7F97-2560-4108-BD51-EC66FF78AC38}"/>
    <cellStyle name="Normal 4 6 3 6" xfId="2119" xr:uid="{00000000-0005-0000-0000-000074160000}"/>
    <cellStyle name="Normal 4 6 3 6 2" xfId="4348" xr:uid="{00000000-0005-0000-0000-000075160000}"/>
    <cellStyle name="Normal 4 6 3 6 2 2" xfId="8570" xr:uid="{00000000-0005-0000-0000-000076160000}"/>
    <cellStyle name="Normal 4 6 3 6 2 2 2" xfId="17020" xr:uid="{B90EB06F-4911-4B4D-98F8-50D619F28950}"/>
    <cellStyle name="Normal 4 6 3 6 2 2 3" xfId="25467" xr:uid="{15533540-6697-4AEC-A44A-AEDB24B3E600}"/>
    <cellStyle name="Normal 4 6 3 6 2 3" xfId="12802" xr:uid="{A8D307FF-DAA1-4008-A52B-E576B5A278E4}"/>
    <cellStyle name="Normal 4 6 3 6 2 4" xfId="21250" xr:uid="{82493690-2C66-4B74-A33F-8C66402AD8AF}"/>
    <cellStyle name="Normal 4 6 3 6 3" xfId="6425" xr:uid="{00000000-0005-0000-0000-000077160000}"/>
    <cellStyle name="Normal 4 6 3 6 3 2" xfId="14875" xr:uid="{FA9E6A3F-FF0D-4F71-A734-DAE0FBE9D15B}"/>
    <cellStyle name="Normal 4 6 3 6 3 3" xfId="23322" xr:uid="{C0CFF044-74F1-4B34-BA22-7A069013785C}"/>
    <cellStyle name="Normal 4 6 3 6 4" xfId="10657" xr:uid="{BAC8F4C1-149A-47B0-993A-AF32137417C9}"/>
    <cellStyle name="Normal 4 6 3 6 5" xfId="19105" xr:uid="{9DC601D0-28A4-4781-8131-2F7ADAE72581}"/>
    <cellStyle name="Normal 4 6 3 7" xfId="2555" xr:uid="{00000000-0005-0000-0000-000078160000}"/>
    <cellStyle name="Normal 4 6 3 7 2" xfId="6838" xr:uid="{00000000-0005-0000-0000-000079160000}"/>
    <cellStyle name="Normal 4 6 3 7 2 2" xfId="15288" xr:uid="{216264EF-2175-4C1C-A373-A1190DBAB2DE}"/>
    <cellStyle name="Normal 4 6 3 7 2 3" xfId="23735" xr:uid="{DC8B3BE4-B2C3-44CD-967D-12F60CD01EF6}"/>
    <cellStyle name="Normal 4 6 3 7 3" xfId="11070" xr:uid="{2660AF91-468B-4CC4-86A9-DA918C6E38BC}"/>
    <cellStyle name="Normal 4 6 3 7 4" xfId="19518" xr:uid="{36DA0AED-7C7A-4490-9A21-DF5191FFF9E6}"/>
    <cellStyle name="Normal 4 6 3 8" xfId="4773" xr:uid="{00000000-0005-0000-0000-00007A160000}"/>
    <cellStyle name="Normal 4 6 3 8 2" xfId="13223" xr:uid="{7B928539-37FF-4DEE-BD37-F73291E09501}"/>
    <cellStyle name="Normal 4 6 3 8 3" xfId="21670" xr:uid="{80AECE84-8BA0-4167-B64B-3D53B144EBE5}"/>
    <cellStyle name="Normal 4 6 3 9" xfId="9005" xr:uid="{4636406C-AEC6-48DF-9C55-448A5B30D75F}"/>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2 2 2" xfId="15783" xr:uid="{E6ABBA4C-E688-4642-ACD9-7BE9AC916A8E}"/>
    <cellStyle name="Normal 4 6 4 2 2 2 3" xfId="24230" xr:uid="{43125071-3DA7-4824-ABBD-8F3CEC280354}"/>
    <cellStyle name="Normal 4 6 4 2 2 3" xfId="11565" xr:uid="{5289B602-3708-4B9D-99BA-E911077C0A13}"/>
    <cellStyle name="Normal 4 6 4 2 2 4" xfId="20013" xr:uid="{DB9C1B41-61C2-4F73-9EDF-8B4A7980BF24}"/>
    <cellStyle name="Normal 4 6 4 2 3" xfId="5188" xr:uid="{00000000-0005-0000-0000-00007F160000}"/>
    <cellStyle name="Normal 4 6 4 2 3 2" xfId="13638" xr:uid="{B9EED13D-1C34-43FB-8F74-FD2369E30141}"/>
    <cellStyle name="Normal 4 6 4 2 3 3" xfId="22085" xr:uid="{3BD2BEAC-6118-4C70-A1CF-AE90DD54F7A0}"/>
    <cellStyle name="Normal 4 6 4 2 4" xfId="9420" xr:uid="{41DBF7F4-8ED5-4615-8B94-9A1936B2B665}"/>
    <cellStyle name="Normal 4 6 4 2 5" xfId="17868" xr:uid="{E4623728-A03F-4086-9F1A-8AEE7151886F}"/>
    <cellStyle name="Normal 4 6 4 3" xfId="1294" xr:uid="{00000000-0005-0000-0000-000080160000}"/>
    <cellStyle name="Normal 4 6 4 3 2" xfId="3524" xr:uid="{00000000-0005-0000-0000-000081160000}"/>
    <cellStyle name="Normal 4 6 4 3 2 2" xfId="7746" xr:uid="{00000000-0005-0000-0000-000082160000}"/>
    <cellStyle name="Normal 4 6 4 3 2 2 2" xfId="16196" xr:uid="{59024F25-E05D-47B0-9D25-4FFC70A4D982}"/>
    <cellStyle name="Normal 4 6 4 3 2 2 3" xfId="24643" xr:uid="{E7141463-274E-4616-AE52-8BEA67F0A5D1}"/>
    <cellStyle name="Normal 4 6 4 3 2 3" xfId="11978" xr:uid="{D6C978A4-2B48-410A-8207-869231621B49}"/>
    <cellStyle name="Normal 4 6 4 3 2 4" xfId="20426" xr:uid="{33D5F6CA-5926-437C-A9D8-B8673E915861}"/>
    <cellStyle name="Normal 4 6 4 3 3" xfId="5601" xr:uid="{00000000-0005-0000-0000-000083160000}"/>
    <cellStyle name="Normal 4 6 4 3 3 2" xfId="14051" xr:uid="{D385F31B-69AB-46FC-9B8E-58B74E921525}"/>
    <cellStyle name="Normal 4 6 4 3 3 3" xfId="22498" xr:uid="{F9494E38-C37C-4733-9DD2-CAF15081BF19}"/>
    <cellStyle name="Normal 4 6 4 3 4" xfId="9833" xr:uid="{8C9BDB96-F583-4325-AC48-9F5FE2496848}"/>
    <cellStyle name="Normal 4 6 4 3 5" xfId="18281" xr:uid="{7F0A050A-D3C0-4AB1-A224-2170D9082D51}"/>
    <cellStyle name="Normal 4 6 4 4" xfId="1707" xr:uid="{00000000-0005-0000-0000-000084160000}"/>
    <cellStyle name="Normal 4 6 4 4 2" xfId="3937" xr:uid="{00000000-0005-0000-0000-000085160000}"/>
    <cellStyle name="Normal 4 6 4 4 2 2" xfId="8159" xr:uid="{00000000-0005-0000-0000-000086160000}"/>
    <cellStyle name="Normal 4 6 4 4 2 2 2" xfId="16609" xr:uid="{46402F0F-2E07-4927-BD55-3D110C9597B0}"/>
    <cellStyle name="Normal 4 6 4 4 2 2 3" xfId="25056" xr:uid="{E1B4C630-FFCE-4A15-99AD-CBCE621ECD45}"/>
    <cellStyle name="Normal 4 6 4 4 2 3" xfId="12391" xr:uid="{4C18C224-793D-41D2-B94C-46260FF41622}"/>
    <cellStyle name="Normal 4 6 4 4 2 4" xfId="20839" xr:uid="{9D509778-2F78-43AD-BD7C-4CF340BB1837}"/>
    <cellStyle name="Normal 4 6 4 4 3" xfId="6014" xr:uid="{00000000-0005-0000-0000-000087160000}"/>
    <cellStyle name="Normal 4 6 4 4 3 2" xfId="14464" xr:uid="{AD864D0F-993A-46F9-8B5D-F14E7BC16462}"/>
    <cellStyle name="Normal 4 6 4 4 3 3" xfId="22911" xr:uid="{4C9AE851-F525-4735-9D8B-EBD3F3B447C7}"/>
    <cellStyle name="Normal 4 6 4 4 4" xfId="10246" xr:uid="{A0F82A10-3F63-436F-A76B-4CB4E3C3F9D1}"/>
    <cellStyle name="Normal 4 6 4 4 5" xfId="18694" xr:uid="{02A65AD2-4174-4251-A10F-2AAF28D0C59F}"/>
    <cellStyle name="Normal 4 6 4 5" xfId="2121" xr:uid="{00000000-0005-0000-0000-000088160000}"/>
    <cellStyle name="Normal 4 6 4 5 2" xfId="4350" xr:uid="{00000000-0005-0000-0000-000089160000}"/>
    <cellStyle name="Normal 4 6 4 5 2 2" xfId="8572" xr:uid="{00000000-0005-0000-0000-00008A160000}"/>
    <cellStyle name="Normal 4 6 4 5 2 2 2" xfId="17022" xr:uid="{DE1C4559-C239-461E-9F53-6F4ACCB54F3A}"/>
    <cellStyle name="Normal 4 6 4 5 2 2 3" xfId="25469" xr:uid="{4B0E5625-A7AD-4C23-991F-5ED2761FF12E}"/>
    <cellStyle name="Normal 4 6 4 5 2 3" xfId="12804" xr:uid="{C95B5948-45CB-4DF6-B2F5-3DB4C2C4730C}"/>
    <cellStyle name="Normal 4 6 4 5 2 4" xfId="21252" xr:uid="{6CE59469-DE7A-46E3-971C-9373CAFC8E7F}"/>
    <cellStyle name="Normal 4 6 4 5 3" xfId="6427" xr:uid="{00000000-0005-0000-0000-00008B160000}"/>
    <cellStyle name="Normal 4 6 4 5 3 2" xfId="14877" xr:uid="{1B64FEB6-7C67-4BE6-9300-BFE98EA38048}"/>
    <cellStyle name="Normal 4 6 4 5 3 3" xfId="23324" xr:uid="{10739E6D-AADE-40B6-82E0-00A69D03EF1A}"/>
    <cellStyle name="Normal 4 6 4 5 4" xfId="10659" xr:uid="{AC7DB445-CD2E-4F45-984A-0EBD5B5C3272}"/>
    <cellStyle name="Normal 4 6 4 5 5" xfId="19107" xr:uid="{BBCF84EA-A839-4388-B7C4-D49E42219C0B}"/>
    <cellStyle name="Normal 4 6 4 6" xfId="2557" xr:uid="{00000000-0005-0000-0000-00008C160000}"/>
    <cellStyle name="Normal 4 6 4 6 2" xfId="6840" xr:uid="{00000000-0005-0000-0000-00008D160000}"/>
    <cellStyle name="Normal 4 6 4 6 2 2" xfId="15290" xr:uid="{BB35ED3B-3CA5-4DE0-971C-59943848D37D}"/>
    <cellStyle name="Normal 4 6 4 6 2 3" xfId="23737" xr:uid="{F9AFE842-0DA1-429E-89C6-CB08AB14B7C9}"/>
    <cellStyle name="Normal 4 6 4 6 3" xfId="11072" xr:uid="{9912F040-FB14-45E1-95D6-1EC8D369F6F6}"/>
    <cellStyle name="Normal 4 6 4 6 4" xfId="19520" xr:uid="{3B53B308-4F46-4A5D-8CF1-B08B13497F70}"/>
    <cellStyle name="Normal 4 6 4 7" xfId="4775" xr:uid="{00000000-0005-0000-0000-00008E160000}"/>
    <cellStyle name="Normal 4 6 4 7 2" xfId="13225" xr:uid="{4DFEE06F-7E26-43C5-AE1F-5AD8DBDA0D11}"/>
    <cellStyle name="Normal 4 6 4 7 3" xfId="21672" xr:uid="{7D57B018-4971-4303-B23F-666E7990DA11}"/>
    <cellStyle name="Normal 4 6 4 8" xfId="9007" xr:uid="{93A3B068-7D65-4010-B191-404391CBE953}"/>
    <cellStyle name="Normal 4 6 4 9" xfId="17455" xr:uid="{CF288204-613A-4167-BD60-E989536E4863}"/>
    <cellStyle name="Normal 4 6 5" xfId="869" xr:uid="{00000000-0005-0000-0000-00008F160000}"/>
    <cellStyle name="Normal 4 6 5 2" xfId="3104" xr:uid="{00000000-0005-0000-0000-000090160000}"/>
    <cellStyle name="Normal 4 6 5 2 2" xfId="7326" xr:uid="{00000000-0005-0000-0000-000091160000}"/>
    <cellStyle name="Normal 4 6 5 2 2 2" xfId="15776" xr:uid="{00BABA52-1746-485A-ADA9-EE98A1066444}"/>
    <cellStyle name="Normal 4 6 5 2 2 3" xfId="24223" xr:uid="{1F7BD6C6-A607-4BAC-83DD-78281125284E}"/>
    <cellStyle name="Normal 4 6 5 2 3" xfId="11558" xr:uid="{072CA429-75EE-436D-8DBB-55306F18621E}"/>
    <cellStyle name="Normal 4 6 5 2 4" xfId="20006" xr:uid="{A66FCE36-78D6-4D96-81B3-FE91EEC87602}"/>
    <cellStyle name="Normal 4 6 5 3" xfId="5181" xr:uid="{00000000-0005-0000-0000-000092160000}"/>
    <cellStyle name="Normal 4 6 5 3 2" xfId="13631" xr:uid="{D248A5DA-F5E1-408D-AD43-17943E0F0B2D}"/>
    <cellStyle name="Normal 4 6 5 3 3" xfId="22078" xr:uid="{AF5E8990-A4F0-4CFA-A7C4-1FD2CAF3B066}"/>
    <cellStyle name="Normal 4 6 5 4" xfId="9413" xr:uid="{9B542B0C-87C1-4751-8E26-F6F80D967C36}"/>
    <cellStyle name="Normal 4 6 5 5" xfId="17861" xr:uid="{05D4D210-421A-4660-97E6-149253AAA8BF}"/>
    <cellStyle name="Normal 4 6 6" xfId="1287" xr:uid="{00000000-0005-0000-0000-000093160000}"/>
    <cellStyle name="Normal 4 6 6 2" xfId="3517" xr:uid="{00000000-0005-0000-0000-000094160000}"/>
    <cellStyle name="Normal 4 6 6 2 2" xfId="7739" xr:uid="{00000000-0005-0000-0000-000095160000}"/>
    <cellStyle name="Normal 4 6 6 2 2 2" xfId="16189" xr:uid="{6F72AEF7-234A-4CA8-9064-BEA2253595A9}"/>
    <cellStyle name="Normal 4 6 6 2 2 3" xfId="24636" xr:uid="{DD0F6F55-7C04-4318-A049-CCF7094F773F}"/>
    <cellStyle name="Normal 4 6 6 2 3" xfId="11971" xr:uid="{6DCB109C-B020-431E-9EF1-7807F84214F2}"/>
    <cellStyle name="Normal 4 6 6 2 4" xfId="20419" xr:uid="{3C7CCF97-D6C2-451A-B517-3BAD388E1BB6}"/>
    <cellStyle name="Normal 4 6 6 3" xfId="5594" xr:uid="{00000000-0005-0000-0000-000096160000}"/>
    <cellStyle name="Normal 4 6 6 3 2" xfId="14044" xr:uid="{F1C5A3E2-9CC2-492B-99C2-48BF2E8D1A7C}"/>
    <cellStyle name="Normal 4 6 6 3 3" xfId="22491" xr:uid="{AF1BC19A-07E2-4337-897E-4A6BEE30E222}"/>
    <cellStyle name="Normal 4 6 6 4" xfId="9826" xr:uid="{74D1427F-B577-44D1-9A9E-7F18C6DA39ED}"/>
    <cellStyle name="Normal 4 6 6 5" xfId="18274" xr:uid="{1F15B304-591D-44B6-BADE-2057A221F485}"/>
    <cellStyle name="Normal 4 6 7" xfId="1700" xr:uid="{00000000-0005-0000-0000-000097160000}"/>
    <cellStyle name="Normal 4 6 7 2" xfId="3930" xr:uid="{00000000-0005-0000-0000-000098160000}"/>
    <cellStyle name="Normal 4 6 7 2 2" xfId="8152" xr:uid="{00000000-0005-0000-0000-000099160000}"/>
    <cellStyle name="Normal 4 6 7 2 2 2" xfId="16602" xr:uid="{F7BDE74B-E464-4F27-8505-227B1C725429}"/>
    <cellStyle name="Normal 4 6 7 2 2 3" xfId="25049" xr:uid="{187F0DF5-77FF-486A-81B0-EDEAF1A95082}"/>
    <cellStyle name="Normal 4 6 7 2 3" xfId="12384" xr:uid="{44B71A55-395E-4226-8157-34ABBEE2F758}"/>
    <cellStyle name="Normal 4 6 7 2 4" xfId="20832" xr:uid="{BA4941BB-331D-452D-AA8A-592CBD4473A2}"/>
    <cellStyle name="Normal 4 6 7 3" xfId="6007" xr:uid="{00000000-0005-0000-0000-00009A160000}"/>
    <cellStyle name="Normal 4 6 7 3 2" xfId="14457" xr:uid="{05E5AC96-9DC5-498F-904B-628049519466}"/>
    <cellStyle name="Normal 4 6 7 3 3" xfId="22904" xr:uid="{77895558-3FE1-4205-83EE-306AA1B6B8CE}"/>
    <cellStyle name="Normal 4 6 7 4" xfId="10239" xr:uid="{B8FC8371-D7A2-4D6E-A1D4-24B7179A9C85}"/>
    <cellStyle name="Normal 4 6 7 5" xfId="18687" xr:uid="{3AE8F0DE-169C-49DC-B2F1-0316D25AC590}"/>
    <cellStyle name="Normal 4 6 8" xfId="2114" xr:uid="{00000000-0005-0000-0000-00009B160000}"/>
    <cellStyle name="Normal 4 6 8 2" xfId="4343" xr:uid="{00000000-0005-0000-0000-00009C160000}"/>
    <cellStyle name="Normal 4 6 8 2 2" xfId="8565" xr:uid="{00000000-0005-0000-0000-00009D160000}"/>
    <cellStyle name="Normal 4 6 8 2 2 2" xfId="17015" xr:uid="{A84E7AE8-620C-42C9-B5F8-5C0C7DE592DE}"/>
    <cellStyle name="Normal 4 6 8 2 2 3" xfId="25462" xr:uid="{984B9587-14F2-44F6-9451-5D7383F6F03C}"/>
    <cellStyle name="Normal 4 6 8 2 3" xfId="12797" xr:uid="{2C7BFF18-F70A-4AA2-8C5D-43DD68616A84}"/>
    <cellStyle name="Normal 4 6 8 2 4" xfId="21245" xr:uid="{F3E14309-3BBB-44A0-B62F-D51D371CED64}"/>
    <cellStyle name="Normal 4 6 8 3" xfId="6420" xr:uid="{00000000-0005-0000-0000-00009E160000}"/>
    <cellStyle name="Normal 4 6 8 3 2" xfId="14870" xr:uid="{2C621E8D-AA1F-40F2-B339-722BAB82EE72}"/>
    <cellStyle name="Normal 4 6 8 3 3" xfId="23317" xr:uid="{A703C5CA-C377-4E43-8A6D-BCBD38C95A5A}"/>
    <cellStyle name="Normal 4 6 8 4" xfId="10652" xr:uid="{F0EB3A74-F821-49A9-8DBC-9AC066ACA9B1}"/>
    <cellStyle name="Normal 4 6 8 5" xfId="19100" xr:uid="{AA84790D-0C73-4D55-B46B-AFB84563D6D4}"/>
    <cellStyle name="Normal 4 6 9" xfId="2550" xr:uid="{00000000-0005-0000-0000-00009F160000}"/>
    <cellStyle name="Normal 4 6 9 2" xfId="6833" xr:uid="{00000000-0005-0000-0000-0000A0160000}"/>
    <cellStyle name="Normal 4 6 9 2 2" xfId="15283" xr:uid="{9984A39D-412B-44C1-9B07-2649ECEE6AEB}"/>
    <cellStyle name="Normal 4 6 9 2 3" xfId="23730" xr:uid="{CABDBE87-DA9A-4FB8-BF35-B025F60373EA}"/>
    <cellStyle name="Normal 4 6 9 3" xfId="11065" xr:uid="{9FD1ADEB-708C-411D-8612-452D86EDD4B5}"/>
    <cellStyle name="Normal 4 6 9 4" xfId="19513" xr:uid="{FA208845-6515-4E1A-899E-6DBB773166C0}"/>
    <cellStyle name="Normal 4 7" xfId="403" xr:uid="{00000000-0005-0000-0000-0000A1160000}"/>
    <cellStyle name="Normal 4 7 10" xfId="17456" xr:uid="{91C93C81-71DC-4966-B33E-A11E76288B5B}"/>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2 2 2" xfId="15785" xr:uid="{3CF6B609-7BAA-43D2-99CF-1F26642CA50E}"/>
    <cellStyle name="Normal 4 7 2 2 2 2 3" xfId="24232" xr:uid="{4F0C487F-BCB1-4D3F-A9AD-2F7AB0EBB376}"/>
    <cellStyle name="Normal 4 7 2 2 2 3" xfId="11567" xr:uid="{D020676D-03F5-4E7F-BD20-8F5C62A907F9}"/>
    <cellStyle name="Normal 4 7 2 2 2 4" xfId="20015" xr:uid="{49C9F18E-54A0-4817-B9AB-8A82B929D162}"/>
    <cellStyle name="Normal 4 7 2 2 3" xfId="5190" xr:uid="{00000000-0005-0000-0000-0000A6160000}"/>
    <cellStyle name="Normal 4 7 2 2 3 2" xfId="13640" xr:uid="{59711AD3-2A45-4CB1-9F4B-8FC47D587FE7}"/>
    <cellStyle name="Normal 4 7 2 2 3 3" xfId="22087" xr:uid="{C9F5F290-4636-41BD-B0E9-CE5A347191EE}"/>
    <cellStyle name="Normal 4 7 2 2 4" xfId="9422" xr:uid="{6E649158-7A99-4131-827E-019B15953FA7}"/>
    <cellStyle name="Normal 4 7 2 2 5" xfId="17870" xr:uid="{A2A094CB-B531-4327-9F37-A578D08C106A}"/>
    <cellStyle name="Normal 4 7 2 3" xfId="1296" xr:uid="{00000000-0005-0000-0000-0000A7160000}"/>
    <cellStyle name="Normal 4 7 2 3 2" xfId="3526" xr:uid="{00000000-0005-0000-0000-0000A8160000}"/>
    <cellStyle name="Normal 4 7 2 3 2 2" xfId="7748" xr:uid="{00000000-0005-0000-0000-0000A9160000}"/>
    <cellStyle name="Normal 4 7 2 3 2 2 2" xfId="16198" xr:uid="{2447BF37-F222-4279-8826-BE299DBABD5A}"/>
    <cellStyle name="Normal 4 7 2 3 2 2 3" xfId="24645" xr:uid="{AE8CAECC-9663-492E-861D-F1717B1A4189}"/>
    <cellStyle name="Normal 4 7 2 3 2 3" xfId="11980" xr:uid="{81A05C91-72EB-41EE-91BE-966F98DC52DE}"/>
    <cellStyle name="Normal 4 7 2 3 2 4" xfId="20428" xr:uid="{76968CA4-4FB8-4F64-8966-AE42D0707AEE}"/>
    <cellStyle name="Normal 4 7 2 3 3" xfId="5603" xr:uid="{00000000-0005-0000-0000-0000AA160000}"/>
    <cellStyle name="Normal 4 7 2 3 3 2" xfId="14053" xr:uid="{68E1F69C-3231-4CC0-9D70-C9C666F95A19}"/>
    <cellStyle name="Normal 4 7 2 3 3 3" xfId="22500" xr:uid="{986EE2DE-8BDE-4D78-9457-E4888578894E}"/>
    <cellStyle name="Normal 4 7 2 3 4" xfId="9835" xr:uid="{CA883A92-20F5-4893-9E61-D86014CD75C3}"/>
    <cellStyle name="Normal 4 7 2 3 5" xfId="18283" xr:uid="{36AB3F3A-D23E-4B48-8001-DC5EC967B0EF}"/>
    <cellStyle name="Normal 4 7 2 4" xfId="1709" xr:uid="{00000000-0005-0000-0000-0000AB160000}"/>
    <cellStyle name="Normal 4 7 2 4 2" xfId="3939" xr:uid="{00000000-0005-0000-0000-0000AC160000}"/>
    <cellStyle name="Normal 4 7 2 4 2 2" xfId="8161" xr:uid="{00000000-0005-0000-0000-0000AD160000}"/>
    <cellStyle name="Normal 4 7 2 4 2 2 2" xfId="16611" xr:uid="{62D8B66B-9565-4281-A684-564DB5C40A8A}"/>
    <cellStyle name="Normal 4 7 2 4 2 2 3" xfId="25058" xr:uid="{11C5A975-3E3A-44E5-84E2-0BB28A4262EF}"/>
    <cellStyle name="Normal 4 7 2 4 2 3" xfId="12393" xr:uid="{375FB75A-FBD0-40C9-A776-FFB197D1A18E}"/>
    <cellStyle name="Normal 4 7 2 4 2 4" xfId="20841" xr:uid="{A042BB6C-6325-4DE5-810F-832B1DC5CE17}"/>
    <cellStyle name="Normal 4 7 2 4 3" xfId="6016" xr:uid="{00000000-0005-0000-0000-0000AE160000}"/>
    <cellStyle name="Normal 4 7 2 4 3 2" xfId="14466" xr:uid="{B21E87FD-941A-45EB-8387-71218CD6D7E4}"/>
    <cellStyle name="Normal 4 7 2 4 3 3" xfId="22913" xr:uid="{59EEC19B-5369-44F8-AFED-7B9E44FCCEB9}"/>
    <cellStyle name="Normal 4 7 2 4 4" xfId="10248" xr:uid="{9C9A0F1B-A402-47B1-9A87-7572DC673E1A}"/>
    <cellStyle name="Normal 4 7 2 4 5" xfId="18696" xr:uid="{FB59A97A-6500-4B12-AE10-9381DCCC02D7}"/>
    <cellStyle name="Normal 4 7 2 5" xfId="2123" xr:uid="{00000000-0005-0000-0000-0000AF160000}"/>
    <cellStyle name="Normal 4 7 2 5 2" xfId="4352" xr:uid="{00000000-0005-0000-0000-0000B0160000}"/>
    <cellStyle name="Normal 4 7 2 5 2 2" xfId="8574" xr:uid="{00000000-0005-0000-0000-0000B1160000}"/>
    <cellStyle name="Normal 4 7 2 5 2 2 2" xfId="17024" xr:uid="{30CF5EFA-2E5E-4900-923C-87AB4F39F727}"/>
    <cellStyle name="Normal 4 7 2 5 2 2 3" xfId="25471" xr:uid="{A215E16D-C363-4304-9F87-4B947AF8419B}"/>
    <cellStyle name="Normal 4 7 2 5 2 3" xfId="12806" xr:uid="{5A82038E-42EC-4A15-9FB5-B2F3988D5877}"/>
    <cellStyle name="Normal 4 7 2 5 2 4" xfId="21254" xr:uid="{C94A7B77-F308-4809-A599-5BDE0F1E3AD2}"/>
    <cellStyle name="Normal 4 7 2 5 3" xfId="6429" xr:uid="{00000000-0005-0000-0000-0000B2160000}"/>
    <cellStyle name="Normal 4 7 2 5 3 2" xfId="14879" xr:uid="{C1A22A8F-25AF-4B43-AB3D-F959CC3D0077}"/>
    <cellStyle name="Normal 4 7 2 5 3 3" xfId="23326" xr:uid="{036A6166-92D8-406B-BFC6-E1ACBE5977FD}"/>
    <cellStyle name="Normal 4 7 2 5 4" xfId="10661" xr:uid="{A7C51E38-9E4D-417D-9543-39D359156F12}"/>
    <cellStyle name="Normal 4 7 2 5 5" xfId="19109" xr:uid="{8FC45B65-5D29-497D-8E89-5D7F83B9B71A}"/>
    <cellStyle name="Normal 4 7 2 6" xfId="2559" xr:uid="{00000000-0005-0000-0000-0000B3160000}"/>
    <cellStyle name="Normal 4 7 2 6 2" xfId="6842" xr:uid="{00000000-0005-0000-0000-0000B4160000}"/>
    <cellStyle name="Normal 4 7 2 6 2 2" xfId="15292" xr:uid="{48B404D3-3CC8-4338-97B8-8782223037A2}"/>
    <cellStyle name="Normal 4 7 2 6 2 3" xfId="23739" xr:uid="{27D40D38-33DE-44FA-AA85-A9383FD98CEF}"/>
    <cellStyle name="Normal 4 7 2 6 3" xfId="11074" xr:uid="{C70C85FF-F83E-494D-94D6-5ACB1480A3B4}"/>
    <cellStyle name="Normal 4 7 2 6 4" xfId="19522" xr:uid="{072C3205-23A6-4805-9183-51D1A1376A40}"/>
    <cellStyle name="Normal 4 7 2 7" xfId="4777" xr:uid="{00000000-0005-0000-0000-0000B5160000}"/>
    <cellStyle name="Normal 4 7 2 7 2" xfId="13227" xr:uid="{AB9DA2FF-85AE-4E13-AE64-85E11F224798}"/>
    <cellStyle name="Normal 4 7 2 7 3" xfId="21674" xr:uid="{15847CBF-CF44-4A03-BFDC-3F0A805BD6E7}"/>
    <cellStyle name="Normal 4 7 2 8" xfId="9009" xr:uid="{E59053BA-E8AC-447D-8C82-7E0BED59545C}"/>
    <cellStyle name="Normal 4 7 2 9" xfId="17457" xr:uid="{5930ECC7-3A6D-43BC-B29F-7287B2E9A7E7}"/>
    <cellStyle name="Normal 4 7 3" xfId="877" xr:uid="{00000000-0005-0000-0000-0000B6160000}"/>
    <cellStyle name="Normal 4 7 3 2" xfId="3112" xr:uid="{00000000-0005-0000-0000-0000B7160000}"/>
    <cellStyle name="Normal 4 7 3 2 2" xfId="7334" xr:uid="{00000000-0005-0000-0000-0000B8160000}"/>
    <cellStyle name="Normal 4 7 3 2 2 2" xfId="15784" xr:uid="{6FDEA065-3BB6-40DC-8C2A-69FD6B9489FF}"/>
    <cellStyle name="Normal 4 7 3 2 2 3" xfId="24231" xr:uid="{F47E5D4F-153E-4AA8-8126-A96523A70B2C}"/>
    <cellStyle name="Normal 4 7 3 2 3" xfId="11566" xr:uid="{F43D1F5F-F062-46A0-A371-8EA51275EB21}"/>
    <cellStyle name="Normal 4 7 3 2 4" xfId="20014" xr:uid="{CD6BB12B-A84F-40C3-9310-F101331A037F}"/>
    <cellStyle name="Normal 4 7 3 3" xfId="5189" xr:uid="{00000000-0005-0000-0000-0000B9160000}"/>
    <cellStyle name="Normal 4 7 3 3 2" xfId="13639" xr:uid="{898B57CA-1C9F-432A-8868-A657C925E8B3}"/>
    <cellStyle name="Normal 4 7 3 3 3" xfId="22086" xr:uid="{A02F443D-9D33-4957-BED2-367ACC801D8E}"/>
    <cellStyle name="Normal 4 7 3 4" xfId="9421" xr:uid="{98410661-A5C3-41A0-A471-B4F4E4773EA3}"/>
    <cellStyle name="Normal 4 7 3 5" xfId="17869" xr:uid="{0B993C19-5FCB-4AA3-829F-FD89A7EC1378}"/>
    <cellStyle name="Normal 4 7 4" xfId="1295" xr:uid="{00000000-0005-0000-0000-0000BA160000}"/>
    <cellStyle name="Normal 4 7 4 2" xfId="3525" xr:uid="{00000000-0005-0000-0000-0000BB160000}"/>
    <cellStyle name="Normal 4 7 4 2 2" xfId="7747" xr:uid="{00000000-0005-0000-0000-0000BC160000}"/>
    <cellStyle name="Normal 4 7 4 2 2 2" xfId="16197" xr:uid="{031B31AD-5158-4789-9994-9C3D70F29C44}"/>
    <cellStyle name="Normal 4 7 4 2 2 3" xfId="24644" xr:uid="{5258522F-751D-47C8-AB7F-54BB210C13DF}"/>
    <cellStyle name="Normal 4 7 4 2 3" xfId="11979" xr:uid="{E5DDD96D-4BFC-4E0A-8BBB-78F8B6B47EEA}"/>
    <cellStyle name="Normal 4 7 4 2 4" xfId="20427" xr:uid="{F1FFF868-F38B-4DD1-8389-417C3144D6B2}"/>
    <cellStyle name="Normal 4 7 4 3" xfId="5602" xr:uid="{00000000-0005-0000-0000-0000BD160000}"/>
    <cellStyle name="Normal 4 7 4 3 2" xfId="14052" xr:uid="{81AF4672-1449-4274-B11B-E9E502C3F30C}"/>
    <cellStyle name="Normal 4 7 4 3 3" xfId="22499" xr:uid="{1DC29D52-D17B-4B33-8BD7-1EF8E98513E5}"/>
    <cellStyle name="Normal 4 7 4 4" xfId="9834" xr:uid="{E5CEE696-7C9E-4343-A8C3-C1A6A58386E2}"/>
    <cellStyle name="Normal 4 7 4 5" xfId="18282" xr:uid="{3CCC2872-4B7A-4F7C-8B39-B0DEA2B02A49}"/>
    <cellStyle name="Normal 4 7 5" xfId="1708" xr:uid="{00000000-0005-0000-0000-0000BE160000}"/>
    <cellStyle name="Normal 4 7 5 2" xfId="3938" xr:uid="{00000000-0005-0000-0000-0000BF160000}"/>
    <cellStyle name="Normal 4 7 5 2 2" xfId="8160" xr:uid="{00000000-0005-0000-0000-0000C0160000}"/>
    <cellStyle name="Normal 4 7 5 2 2 2" xfId="16610" xr:uid="{1F33D943-6E1C-41EE-851B-8AC3CF24CB75}"/>
    <cellStyle name="Normal 4 7 5 2 2 3" xfId="25057" xr:uid="{39A3AF36-B875-4BE6-98C1-47F17D0BFA9E}"/>
    <cellStyle name="Normal 4 7 5 2 3" xfId="12392" xr:uid="{E4F32B29-99AA-4BF6-B48E-ECA37EA05CD7}"/>
    <cellStyle name="Normal 4 7 5 2 4" xfId="20840" xr:uid="{A005C2D3-F2D8-4BA6-9AF5-773D417E7FF2}"/>
    <cellStyle name="Normal 4 7 5 3" xfId="6015" xr:uid="{00000000-0005-0000-0000-0000C1160000}"/>
    <cellStyle name="Normal 4 7 5 3 2" xfId="14465" xr:uid="{11596FB9-5E56-46F9-8410-20FF38EE7746}"/>
    <cellStyle name="Normal 4 7 5 3 3" xfId="22912" xr:uid="{B15C5D69-CCE3-4E28-8C82-07F417FA3204}"/>
    <cellStyle name="Normal 4 7 5 4" xfId="10247" xr:uid="{7013F60E-29DF-46DF-81A1-A72142AC452A}"/>
    <cellStyle name="Normal 4 7 5 5" xfId="18695" xr:uid="{5BC5D46C-F97B-4A96-9285-19286AD1CC96}"/>
    <cellStyle name="Normal 4 7 6" xfId="2122" xr:uid="{00000000-0005-0000-0000-0000C2160000}"/>
    <cellStyle name="Normal 4 7 6 2" xfId="4351" xr:uid="{00000000-0005-0000-0000-0000C3160000}"/>
    <cellStyle name="Normal 4 7 6 2 2" xfId="8573" xr:uid="{00000000-0005-0000-0000-0000C4160000}"/>
    <cellStyle name="Normal 4 7 6 2 2 2" xfId="17023" xr:uid="{AC4A6B96-051E-4F4E-A80A-3A84083A7E82}"/>
    <cellStyle name="Normal 4 7 6 2 2 3" xfId="25470" xr:uid="{A64F5CCF-0AED-4DCD-90AA-4AD64C83C988}"/>
    <cellStyle name="Normal 4 7 6 2 3" xfId="12805" xr:uid="{4F143EBC-C034-4B20-B30F-F35469E0B31B}"/>
    <cellStyle name="Normal 4 7 6 2 4" xfId="21253" xr:uid="{2E2FD87F-8063-460D-8AD1-54A797BF2AA0}"/>
    <cellStyle name="Normal 4 7 6 3" xfId="6428" xr:uid="{00000000-0005-0000-0000-0000C5160000}"/>
    <cellStyle name="Normal 4 7 6 3 2" xfId="14878" xr:uid="{425EC9A2-84E8-42D7-98C3-50864EDB7F36}"/>
    <cellStyle name="Normal 4 7 6 3 3" xfId="23325" xr:uid="{7636A6E3-4499-4145-8B2E-4A11EE9D0E3D}"/>
    <cellStyle name="Normal 4 7 6 4" xfId="10660" xr:uid="{E149B993-41D4-40A1-9DC6-1700C0BA72B3}"/>
    <cellStyle name="Normal 4 7 6 5" xfId="19108" xr:uid="{77943BDC-4D3E-436C-BA76-1FE25330FCFD}"/>
    <cellStyle name="Normal 4 7 7" xfId="2558" xr:uid="{00000000-0005-0000-0000-0000C6160000}"/>
    <cellStyle name="Normal 4 7 7 2" xfId="6841" xr:uid="{00000000-0005-0000-0000-0000C7160000}"/>
    <cellStyle name="Normal 4 7 7 2 2" xfId="15291" xr:uid="{1DD708A5-8845-4EB6-818F-0EA8FB382007}"/>
    <cellStyle name="Normal 4 7 7 2 3" xfId="23738" xr:uid="{58B738E0-024D-4A8A-91D0-DFF081CF98EE}"/>
    <cellStyle name="Normal 4 7 7 3" xfId="11073" xr:uid="{6E0E7B80-F30D-444E-93D1-C756DF377176}"/>
    <cellStyle name="Normal 4 7 7 4" xfId="19521" xr:uid="{5ECBA30F-72EB-41BC-AA43-E1C7301B5929}"/>
    <cellStyle name="Normal 4 7 8" xfId="4776" xr:uid="{00000000-0005-0000-0000-0000C8160000}"/>
    <cellStyle name="Normal 4 7 8 2" xfId="13226" xr:uid="{7E79D2CF-DE08-416C-8FD5-C331DFB8FE57}"/>
    <cellStyle name="Normal 4 7 8 3" xfId="21673" xr:uid="{B8AC6805-1114-4102-8F13-F86DE8F8E943}"/>
    <cellStyle name="Normal 4 7 9" xfId="9008" xr:uid="{176220E1-0213-4023-A2A2-E878427F3331}"/>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2 2 2" xfId="15786" xr:uid="{BF27D5D6-3995-47F4-9E56-4DDEB6E2A656}"/>
    <cellStyle name="Normal 4 8 2 2 2 3" xfId="24233" xr:uid="{F9F2D65D-D2DB-4506-AFA7-1396835F2C2F}"/>
    <cellStyle name="Normal 4 8 2 2 3" xfId="11568" xr:uid="{C1A298EE-1D69-40F2-9C01-22C7A7ED5B8F}"/>
    <cellStyle name="Normal 4 8 2 2 4" xfId="20016" xr:uid="{E3FC085F-907E-44C0-ABC2-E264CACFA279}"/>
    <cellStyle name="Normal 4 8 2 3" xfId="5191" xr:uid="{00000000-0005-0000-0000-0000CD160000}"/>
    <cellStyle name="Normal 4 8 2 3 2" xfId="13641" xr:uid="{15ACC091-938C-4786-B150-AF0EAA324E9D}"/>
    <cellStyle name="Normal 4 8 2 3 3" xfId="22088" xr:uid="{0A415D05-8D8F-42C9-96ED-1504A2F431DD}"/>
    <cellStyle name="Normal 4 8 2 4" xfId="9423" xr:uid="{E81316A6-F13E-49ED-A61E-EC6082D281BB}"/>
    <cellStyle name="Normal 4 8 2 5" xfId="17871" xr:uid="{C482153E-DACF-454A-B0ED-468B06316B47}"/>
    <cellStyle name="Normal 4 8 3" xfId="1297" xr:uid="{00000000-0005-0000-0000-0000CE160000}"/>
    <cellStyle name="Normal 4 8 3 2" xfId="3527" xr:uid="{00000000-0005-0000-0000-0000CF160000}"/>
    <cellStyle name="Normal 4 8 3 2 2" xfId="7749" xr:uid="{00000000-0005-0000-0000-0000D0160000}"/>
    <cellStyle name="Normal 4 8 3 2 2 2" xfId="16199" xr:uid="{11C5AFD4-53F0-443C-8AAE-66C08C9EC306}"/>
    <cellStyle name="Normal 4 8 3 2 2 3" xfId="24646" xr:uid="{904FBB7D-B359-48E9-9FE1-ACCF4BB03D3A}"/>
    <cellStyle name="Normal 4 8 3 2 3" xfId="11981" xr:uid="{D5EDF28F-3FDD-49EF-B55D-FFDE9A7EF0C1}"/>
    <cellStyle name="Normal 4 8 3 2 4" xfId="20429" xr:uid="{C6511545-2018-4B50-944E-BBAD86C6E332}"/>
    <cellStyle name="Normal 4 8 3 3" xfId="5604" xr:uid="{00000000-0005-0000-0000-0000D1160000}"/>
    <cellStyle name="Normal 4 8 3 3 2" xfId="14054" xr:uid="{72174C48-01A0-4F96-A8EE-BF6E47D4EDF4}"/>
    <cellStyle name="Normal 4 8 3 3 3" xfId="22501" xr:uid="{0ECA7EB7-3C12-472E-BBEF-FE88BC9DBBAF}"/>
    <cellStyle name="Normal 4 8 3 4" xfId="9836" xr:uid="{785C0957-F456-4B0A-8316-125BDDF4D7F3}"/>
    <cellStyle name="Normal 4 8 3 5" xfId="18284" xr:uid="{72FF7EEE-70C4-471E-B5F0-3E0FC1908FB5}"/>
    <cellStyle name="Normal 4 8 4" xfId="1710" xr:uid="{00000000-0005-0000-0000-0000D2160000}"/>
    <cellStyle name="Normal 4 8 4 2" xfId="3940" xr:uid="{00000000-0005-0000-0000-0000D3160000}"/>
    <cellStyle name="Normal 4 8 4 2 2" xfId="8162" xr:uid="{00000000-0005-0000-0000-0000D4160000}"/>
    <cellStyle name="Normal 4 8 4 2 2 2" xfId="16612" xr:uid="{3A97527F-10B2-47C7-8277-F3EE8B8E7B64}"/>
    <cellStyle name="Normal 4 8 4 2 2 3" xfId="25059" xr:uid="{62853B0F-B432-4497-88AA-F2470978FF68}"/>
    <cellStyle name="Normal 4 8 4 2 3" xfId="12394" xr:uid="{C5F98F72-BE74-4B2B-BEF5-88BA67562C45}"/>
    <cellStyle name="Normal 4 8 4 2 4" xfId="20842" xr:uid="{5A25C2D0-170A-49D5-8B94-5D0262F6CC43}"/>
    <cellStyle name="Normal 4 8 4 3" xfId="6017" xr:uid="{00000000-0005-0000-0000-0000D5160000}"/>
    <cellStyle name="Normal 4 8 4 3 2" xfId="14467" xr:uid="{32C8017C-22D4-4D7C-A7BA-ABF443945B4E}"/>
    <cellStyle name="Normal 4 8 4 3 3" xfId="22914" xr:uid="{014F8D3B-3F3F-411D-9BC7-5CE6D77923AB}"/>
    <cellStyle name="Normal 4 8 4 4" xfId="10249" xr:uid="{A25013CB-75E8-4BC0-982B-1BB605E89B3D}"/>
    <cellStyle name="Normal 4 8 4 5" xfId="18697" xr:uid="{346B6411-ADEF-414E-A254-1C7D4CD4AD91}"/>
    <cellStyle name="Normal 4 8 5" xfId="2124" xr:uid="{00000000-0005-0000-0000-0000D6160000}"/>
    <cellStyle name="Normal 4 8 5 2" xfId="4353" xr:uid="{00000000-0005-0000-0000-0000D7160000}"/>
    <cellStyle name="Normal 4 8 5 2 2" xfId="8575" xr:uid="{00000000-0005-0000-0000-0000D8160000}"/>
    <cellStyle name="Normal 4 8 5 2 2 2" xfId="17025" xr:uid="{2FD0CA84-6592-4951-837A-4C3BC83AF92C}"/>
    <cellStyle name="Normal 4 8 5 2 2 3" xfId="25472" xr:uid="{5CA82FE2-860E-463A-BF73-794B8753DD16}"/>
    <cellStyle name="Normal 4 8 5 2 3" xfId="12807" xr:uid="{936F17FF-A298-42BB-A811-92AFC420C0D7}"/>
    <cellStyle name="Normal 4 8 5 2 4" xfId="21255" xr:uid="{D5B59D45-5D02-4BDD-839C-542D33A191C7}"/>
    <cellStyle name="Normal 4 8 5 3" xfId="6430" xr:uid="{00000000-0005-0000-0000-0000D9160000}"/>
    <cellStyle name="Normal 4 8 5 3 2" xfId="14880" xr:uid="{00C07C05-BA69-4EA5-BF07-1E1A20AC23AF}"/>
    <cellStyle name="Normal 4 8 5 3 3" xfId="23327" xr:uid="{2C3E4F9E-51B9-4F56-BBCC-0A132C15A3B7}"/>
    <cellStyle name="Normal 4 8 5 4" xfId="10662" xr:uid="{68D9158B-A03F-4AD4-9CAB-B95C2DD79B45}"/>
    <cellStyle name="Normal 4 8 5 5" xfId="19110" xr:uid="{0C53375C-EE2A-40AA-B9A6-B08040AE71BC}"/>
    <cellStyle name="Normal 4 8 6" xfId="2560" xr:uid="{00000000-0005-0000-0000-0000DA160000}"/>
    <cellStyle name="Normal 4 8 6 2" xfId="6843" xr:uid="{00000000-0005-0000-0000-0000DB160000}"/>
    <cellStyle name="Normal 4 8 6 2 2" xfId="15293" xr:uid="{C7F026A6-4238-476E-B7C5-F0B66EC77B75}"/>
    <cellStyle name="Normal 4 8 6 2 3" xfId="23740" xr:uid="{B0E9732B-E23F-4D63-B54A-B54FD6E90A85}"/>
    <cellStyle name="Normal 4 8 6 3" xfId="11075" xr:uid="{B606AD0F-D11E-49A2-A83F-38E26A35065D}"/>
    <cellStyle name="Normal 4 8 6 4" xfId="19523" xr:uid="{FD6804E7-175D-44BA-AD5A-852C0D468EE1}"/>
    <cellStyle name="Normal 4 8 7" xfId="4778" xr:uid="{00000000-0005-0000-0000-0000DC160000}"/>
    <cellStyle name="Normal 4 8 7 2" xfId="13228" xr:uid="{52F91D14-AB41-4AB2-A3BE-75330E52426E}"/>
    <cellStyle name="Normal 4 8 7 3" xfId="21675" xr:uid="{A4DCAB60-31C0-42AD-86DB-146710A846E8}"/>
    <cellStyle name="Normal 4 8 8" xfId="9010" xr:uid="{4155BD54-8153-4577-A3C1-9A43841C0AD5}"/>
    <cellStyle name="Normal 4 8 9" xfId="17458" xr:uid="{F0DE457A-5613-44AA-A941-0F6CD83E5315}"/>
    <cellStyle name="Normal 4 9" xfId="4715" xr:uid="{00000000-0005-0000-0000-0000DD160000}"/>
    <cellStyle name="Normal 4 9 2" xfId="13165" xr:uid="{48680178-B05F-46BD-A2B4-573121EFA9BD}"/>
    <cellStyle name="Normal 4 9 3" xfId="21612" xr:uid="{D16DA2D0-4B14-44CC-B867-CFABB3A46848}"/>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2 2 2" xfId="16613" xr:uid="{86730072-A33F-4AD9-BB0E-E2393577602F}"/>
    <cellStyle name="Normal 5 10 2 2 3" xfId="25060" xr:uid="{95DAAC4F-A48F-4787-B20D-539451B15F98}"/>
    <cellStyle name="Normal 5 10 2 3" xfId="12395" xr:uid="{2C57986C-F7DC-4F11-9BCA-A5104CB0AFCA}"/>
    <cellStyle name="Normal 5 10 2 4" xfId="20843" xr:uid="{7B830D06-5D46-4C6F-BF09-37CA26F2CF50}"/>
    <cellStyle name="Normal 5 10 3" xfId="6018" xr:uid="{00000000-0005-0000-0000-0000E2160000}"/>
    <cellStyle name="Normal 5 10 3 2" xfId="14468" xr:uid="{3B9460A4-9335-49E7-A6AB-37C36B3C3F57}"/>
    <cellStyle name="Normal 5 10 3 3" xfId="22915" xr:uid="{09673745-0EF2-4895-B9F8-A63E592320E4}"/>
    <cellStyle name="Normal 5 10 4" xfId="10250" xr:uid="{3ED91840-9AC0-4BCD-9935-45F78CB659DA}"/>
    <cellStyle name="Normal 5 10 5" xfId="18698" xr:uid="{3AB545C1-5370-4A45-AA2C-0C7312DA03CD}"/>
    <cellStyle name="Normal 5 11" xfId="2125" xr:uid="{00000000-0005-0000-0000-0000E3160000}"/>
    <cellStyle name="Normal 5 11 2" xfId="4354" xr:uid="{00000000-0005-0000-0000-0000E4160000}"/>
    <cellStyle name="Normal 5 11 2 2" xfId="8576" xr:uid="{00000000-0005-0000-0000-0000E5160000}"/>
    <cellStyle name="Normal 5 11 2 2 2" xfId="17026" xr:uid="{8947290A-8C34-4DDA-9381-849EB97E6C1B}"/>
    <cellStyle name="Normal 5 11 2 2 3" xfId="25473" xr:uid="{6410AD8B-466D-4528-B953-4504E204CFD0}"/>
    <cellStyle name="Normal 5 11 2 3" xfId="12808" xr:uid="{746BD4D9-EBB6-40E1-B636-75CEFA3F3071}"/>
    <cellStyle name="Normal 5 11 2 4" xfId="21256" xr:uid="{B8D4601F-CD70-434B-83BE-9C818D6304A0}"/>
    <cellStyle name="Normal 5 11 3" xfId="6431" xr:uid="{00000000-0005-0000-0000-0000E6160000}"/>
    <cellStyle name="Normal 5 11 3 2" xfId="14881" xr:uid="{5D6B1659-D99C-403D-96E0-87DD067CC9CA}"/>
    <cellStyle name="Normal 5 11 3 3" xfId="23328" xr:uid="{309BE7F5-0817-4F93-9810-5B2F961D0574}"/>
    <cellStyle name="Normal 5 11 4" xfId="10663" xr:uid="{61EA618F-AB90-41CE-ACDD-5662D422B322}"/>
    <cellStyle name="Normal 5 11 5" xfId="19111" xr:uid="{323A9286-5D24-4EC0-B532-000B691FB1F1}"/>
    <cellStyle name="Normal 5 12" xfId="2561" xr:uid="{00000000-0005-0000-0000-0000E7160000}"/>
    <cellStyle name="Normal 5 12 2" xfId="6844" xr:uid="{00000000-0005-0000-0000-0000E8160000}"/>
    <cellStyle name="Normal 5 12 2 2" xfId="15294" xr:uid="{CC2342FE-3D1F-410A-8921-E1FE427156CB}"/>
    <cellStyle name="Normal 5 12 2 3" xfId="23741" xr:uid="{755FC553-0E86-42D5-9BB9-9BC228E16C7C}"/>
    <cellStyle name="Normal 5 12 3" xfId="11076" xr:uid="{A09C85DA-31E6-4CBB-ACB2-CE99AC208D99}"/>
    <cellStyle name="Normal 5 12 4" xfId="19524" xr:uid="{80A54E3F-806E-4633-AD22-41E5C9D7F815}"/>
    <cellStyle name="Normal 5 13" xfId="4779" xr:uid="{00000000-0005-0000-0000-0000E9160000}"/>
    <cellStyle name="Normal 5 13 2" xfId="13229" xr:uid="{AC9CB2B8-4D9B-40D1-8ADC-C35927434223}"/>
    <cellStyle name="Normal 5 13 3" xfId="21676" xr:uid="{6F89C1DB-158E-430B-929C-0DD81CCB9DFB}"/>
    <cellStyle name="Normal 5 14" xfId="9011" xr:uid="{76F2F9EC-4C1E-44B3-9773-1D443D4B0DE9}"/>
    <cellStyle name="Normal 5 15" xfId="17459" xr:uid="{E5782F99-2EF7-4ECD-8B60-931638D7B756}"/>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2 2 2" xfId="17027" xr:uid="{C26681CA-28F1-4C77-B3F4-D30451459EFD}"/>
    <cellStyle name="Normal 5 2 10 2 2 3" xfId="25474" xr:uid="{59A29065-8F8F-4181-B8FB-FC2F504863D9}"/>
    <cellStyle name="Normal 5 2 10 2 3" xfId="12809" xr:uid="{4B33705D-C3E6-4E27-B3E1-DD1B8181D0EA}"/>
    <cellStyle name="Normal 5 2 10 2 4" xfId="21257" xr:uid="{92993B05-7B26-4D88-857A-52C304E254A7}"/>
    <cellStyle name="Normal 5 2 10 3" xfId="6432" xr:uid="{00000000-0005-0000-0000-0000EE160000}"/>
    <cellStyle name="Normal 5 2 10 3 2" xfId="14882" xr:uid="{DD3EA4E7-86FB-4D1D-ACA0-E6F3D72F615A}"/>
    <cellStyle name="Normal 5 2 10 3 3" xfId="23329" xr:uid="{4722DBA0-8A1C-4BE4-808E-3748979E5F3F}"/>
    <cellStyle name="Normal 5 2 10 4" xfId="10664" xr:uid="{3AABF145-AC06-4042-B8E5-ED38DF3F9682}"/>
    <cellStyle name="Normal 5 2 10 5" xfId="19112" xr:uid="{93521250-8047-434B-9301-FF94FFDFBED8}"/>
    <cellStyle name="Normal 5 2 11" xfId="2562" xr:uid="{00000000-0005-0000-0000-0000EF160000}"/>
    <cellStyle name="Normal 5 2 11 2" xfId="6845" xr:uid="{00000000-0005-0000-0000-0000F0160000}"/>
    <cellStyle name="Normal 5 2 11 2 2" xfId="15295" xr:uid="{54139BB8-E0D6-4D82-B859-8FB7169143D6}"/>
    <cellStyle name="Normal 5 2 11 2 3" xfId="23742" xr:uid="{E1C17ED3-CC8E-46F8-8F57-D8345C9AC390}"/>
    <cellStyle name="Normal 5 2 11 3" xfId="11077" xr:uid="{BD7792FC-2A9D-45F5-BD2A-A0B58A43794D}"/>
    <cellStyle name="Normal 5 2 11 4" xfId="19525" xr:uid="{44F21162-0CCB-40A9-B4B0-6B08A66EC62B}"/>
    <cellStyle name="Normal 5 2 12" xfId="4780" xr:uid="{00000000-0005-0000-0000-0000F1160000}"/>
    <cellStyle name="Normal 5 2 12 2" xfId="13230" xr:uid="{B1F328F1-3B8E-4A3B-A749-1E0CA0C1552C}"/>
    <cellStyle name="Normal 5 2 12 3" xfId="21677" xr:uid="{64A946BE-9C62-4872-A0B3-8797D4E1013B}"/>
    <cellStyle name="Normal 5 2 13" xfId="9012" xr:uid="{5CD3044D-278F-4AD9-8402-F0DF3A12AA61}"/>
    <cellStyle name="Normal 5 2 14" xfId="17460" xr:uid="{8F48946C-2AE6-467F-83A8-58EBE834357C}"/>
    <cellStyle name="Normal 5 2 2" xfId="408" xr:uid="{00000000-0005-0000-0000-0000F2160000}"/>
    <cellStyle name="Normal 5 2 2 10" xfId="2563" xr:uid="{00000000-0005-0000-0000-0000F3160000}"/>
    <cellStyle name="Normal 5 2 2 10 2" xfId="6846" xr:uid="{00000000-0005-0000-0000-0000F4160000}"/>
    <cellStyle name="Normal 5 2 2 10 2 2" xfId="15296" xr:uid="{6D8603B6-4EDB-485D-A6CD-9F640A75E3F1}"/>
    <cellStyle name="Normal 5 2 2 10 2 3" xfId="23743" xr:uid="{9DFCC6F2-B006-4F8D-AE23-EC28FE871B67}"/>
    <cellStyle name="Normal 5 2 2 10 3" xfId="11078" xr:uid="{16FEBA17-A351-473F-80BF-86AA8E5DFF8B}"/>
    <cellStyle name="Normal 5 2 2 10 4" xfId="19526" xr:uid="{EADFD4A6-83A3-4FF0-8036-16577DFD3658}"/>
    <cellStyle name="Normal 5 2 2 11" xfId="4781" xr:uid="{00000000-0005-0000-0000-0000F5160000}"/>
    <cellStyle name="Normal 5 2 2 11 2" xfId="13231" xr:uid="{A15CC793-6922-466D-B0C0-BD3343099C65}"/>
    <cellStyle name="Normal 5 2 2 11 3" xfId="21678" xr:uid="{B910943D-13E1-4795-BC8E-FE77C36D99CF}"/>
    <cellStyle name="Normal 5 2 2 12" xfId="9013" xr:uid="{9CE6C756-5D9E-41AD-AE0E-B2CA314A5A42}"/>
    <cellStyle name="Normal 5 2 2 13" xfId="17461" xr:uid="{9C08FE5C-20CA-4212-AF94-F776759F3755}"/>
    <cellStyle name="Normal 5 2 2 2" xfId="409" xr:uid="{00000000-0005-0000-0000-0000F6160000}"/>
    <cellStyle name="Normal 5 2 2 2 10" xfId="4782" xr:uid="{00000000-0005-0000-0000-0000F7160000}"/>
    <cellStyle name="Normal 5 2 2 2 10 2" xfId="13232" xr:uid="{E39E24C8-1DD4-420F-9511-F2CA742B16F0}"/>
    <cellStyle name="Normal 5 2 2 2 10 3" xfId="21679" xr:uid="{9868E492-D483-406C-A37F-C417B02FB7E3}"/>
    <cellStyle name="Normal 5 2 2 2 11" xfId="9014" xr:uid="{F0A8B292-CB09-4617-B5A1-078E7A1BAE8F}"/>
    <cellStyle name="Normal 5 2 2 2 12" xfId="17462" xr:uid="{C2FC2E8C-D8F9-4C87-A404-E8A68078DB01}"/>
    <cellStyle name="Normal 5 2 2 2 2" xfId="410" xr:uid="{00000000-0005-0000-0000-0000F8160000}"/>
    <cellStyle name="Normal 5 2 2 2 2 10" xfId="9015" xr:uid="{72AC02D5-0662-4193-8C58-BAFF15230CF6}"/>
    <cellStyle name="Normal 5 2 2 2 2 11" xfId="17463" xr:uid="{53656706-CCB3-4C1A-BA60-10A7F4357D77}"/>
    <cellStyle name="Normal 5 2 2 2 2 2" xfId="411" xr:uid="{00000000-0005-0000-0000-0000F9160000}"/>
    <cellStyle name="Normal 5 2 2 2 2 2 10" xfId="17464" xr:uid="{7D81F5A6-D08E-47E3-B196-8F0F0D9AC1DD}"/>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2 2 2" xfId="15793" xr:uid="{E8FF938F-F37C-4AA8-9AC7-5ED436841C1F}"/>
    <cellStyle name="Normal 5 2 2 2 2 2 2 2 2 2 3" xfId="24240" xr:uid="{26C771CD-B618-49E6-93F9-2FA80533793C}"/>
    <cellStyle name="Normal 5 2 2 2 2 2 2 2 2 3" xfId="11575" xr:uid="{A33FA33B-A20B-425F-9B5B-2FF74EC5720D}"/>
    <cellStyle name="Normal 5 2 2 2 2 2 2 2 2 4" xfId="20023" xr:uid="{0B37BCB1-FE2E-41A4-8B28-68FD898638A2}"/>
    <cellStyle name="Normal 5 2 2 2 2 2 2 2 3" xfId="5198" xr:uid="{00000000-0005-0000-0000-0000FE160000}"/>
    <cellStyle name="Normal 5 2 2 2 2 2 2 2 3 2" xfId="13648" xr:uid="{438F14BD-877B-4DED-A1FA-299C54B78754}"/>
    <cellStyle name="Normal 5 2 2 2 2 2 2 2 3 3" xfId="22095" xr:uid="{7372CA18-1FEB-43E0-A0A4-E05FE7CF5A6E}"/>
    <cellStyle name="Normal 5 2 2 2 2 2 2 2 4" xfId="9430" xr:uid="{4508D2F2-D15D-4EDD-86F2-EE4A5753DC08}"/>
    <cellStyle name="Normal 5 2 2 2 2 2 2 2 5" xfId="17878" xr:uid="{428CAA71-8E7D-4657-9796-8CF9570E62E3}"/>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2 2 2" xfId="16206" xr:uid="{630226BC-C549-4BA0-AE10-5F4B04CA96E5}"/>
    <cellStyle name="Normal 5 2 2 2 2 2 2 3 2 2 3" xfId="24653" xr:uid="{4365F3BE-B7C9-4803-807C-34720CB61F14}"/>
    <cellStyle name="Normal 5 2 2 2 2 2 2 3 2 3" xfId="11988" xr:uid="{BF27F19F-4474-4BF5-A186-5172EE1AC031}"/>
    <cellStyle name="Normal 5 2 2 2 2 2 2 3 2 4" xfId="20436" xr:uid="{77D995A0-3619-41AF-AACF-BAD7BC699D07}"/>
    <cellStyle name="Normal 5 2 2 2 2 2 2 3 3" xfId="5611" xr:uid="{00000000-0005-0000-0000-000002170000}"/>
    <cellStyle name="Normal 5 2 2 2 2 2 2 3 3 2" xfId="14061" xr:uid="{E740E235-C938-4DEC-9384-3C2C1EDB11FA}"/>
    <cellStyle name="Normal 5 2 2 2 2 2 2 3 3 3" xfId="22508" xr:uid="{08794039-DA23-4DDD-939C-F9CAFE91A8A3}"/>
    <cellStyle name="Normal 5 2 2 2 2 2 2 3 4" xfId="9843" xr:uid="{A8D918AA-31FF-48B5-AE5E-70321A190C47}"/>
    <cellStyle name="Normal 5 2 2 2 2 2 2 3 5" xfId="18291" xr:uid="{83A74E50-4A51-4F14-87D2-73411BDD7DDE}"/>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2 2 2" xfId="16619" xr:uid="{1E3E2746-4B07-47F8-A346-A15BAB7AF1F9}"/>
    <cellStyle name="Normal 5 2 2 2 2 2 2 4 2 2 3" xfId="25066" xr:uid="{389A87C9-6A24-4DCA-8E62-5063993E6276}"/>
    <cellStyle name="Normal 5 2 2 2 2 2 2 4 2 3" xfId="12401" xr:uid="{0E22DA0E-7D9E-455B-86EA-D46A4A5A4C10}"/>
    <cellStyle name="Normal 5 2 2 2 2 2 2 4 2 4" xfId="20849" xr:uid="{7E6B82EC-FF33-4E32-B4C7-8C0ED74D2837}"/>
    <cellStyle name="Normal 5 2 2 2 2 2 2 4 3" xfId="6024" xr:uid="{00000000-0005-0000-0000-000006170000}"/>
    <cellStyle name="Normal 5 2 2 2 2 2 2 4 3 2" xfId="14474" xr:uid="{6492F226-7940-4201-8B84-FD00B6EDFD2E}"/>
    <cellStyle name="Normal 5 2 2 2 2 2 2 4 3 3" xfId="22921" xr:uid="{A07A5A64-EE86-461E-BFD7-9EF4C394988A}"/>
    <cellStyle name="Normal 5 2 2 2 2 2 2 4 4" xfId="10256" xr:uid="{ABB2269F-F985-4BB2-8308-DDED25FE0D5C}"/>
    <cellStyle name="Normal 5 2 2 2 2 2 2 4 5" xfId="18704" xr:uid="{EEA7E950-9649-421B-B930-C8450A8994C4}"/>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2 2 2" xfId="17032" xr:uid="{EF881B94-E7FA-4ECF-A52D-2BFC1A47DD9A}"/>
    <cellStyle name="Normal 5 2 2 2 2 2 2 5 2 2 3" xfId="25479" xr:uid="{46D8FC76-9CDE-427B-8D93-CFE15C0FAEF1}"/>
    <cellStyle name="Normal 5 2 2 2 2 2 2 5 2 3" xfId="12814" xr:uid="{AAC471F3-96F4-47AB-9018-2F0F1C2E954F}"/>
    <cellStyle name="Normal 5 2 2 2 2 2 2 5 2 4" xfId="21262" xr:uid="{10CF93A7-A68D-419B-8389-5B1817E6DCDE}"/>
    <cellStyle name="Normal 5 2 2 2 2 2 2 5 3" xfId="6437" xr:uid="{00000000-0005-0000-0000-00000A170000}"/>
    <cellStyle name="Normal 5 2 2 2 2 2 2 5 3 2" xfId="14887" xr:uid="{107BF565-34BD-4252-8E5D-DF8C188F8083}"/>
    <cellStyle name="Normal 5 2 2 2 2 2 2 5 3 3" xfId="23334" xr:uid="{D881D71B-613D-41D4-9B2C-878102133447}"/>
    <cellStyle name="Normal 5 2 2 2 2 2 2 5 4" xfId="10669" xr:uid="{96DA9F93-BFA0-49B2-A345-CAD8E3670001}"/>
    <cellStyle name="Normal 5 2 2 2 2 2 2 5 5" xfId="19117" xr:uid="{8B9BCB7C-7313-403C-9A64-B0918E2012B8}"/>
    <cellStyle name="Normal 5 2 2 2 2 2 2 6" xfId="2567" xr:uid="{00000000-0005-0000-0000-00000B170000}"/>
    <cellStyle name="Normal 5 2 2 2 2 2 2 6 2" xfId="6850" xr:uid="{00000000-0005-0000-0000-00000C170000}"/>
    <cellStyle name="Normal 5 2 2 2 2 2 2 6 2 2" xfId="15300" xr:uid="{BD006AE2-5F65-4B1A-8122-78D24382FACD}"/>
    <cellStyle name="Normal 5 2 2 2 2 2 2 6 2 3" xfId="23747" xr:uid="{052674B2-EA63-48BA-BEEE-4C5A7A8F5922}"/>
    <cellStyle name="Normal 5 2 2 2 2 2 2 6 3" xfId="11082" xr:uid="{0FE627D5-6243-44BE-8F83-6F1FD1784EB4}"/>
    <cellStyle name="Normal 5 2 2 2 2 2 2 6 4" xfId="19530" xr:uid="{30C717AA-4844-485E-9CF9-A3D13FC90D5C}"/>
    <cellStyle name="Normal 5 2 2 2 2 2 2 7" xfId="4785" xr:uid="{00000000-0005-0000-0000-00000D170000}"/>
    <cellStyle name="Normal 5 2 2 2 2 2 2 7 2" xfId="13235" xr:uid="{60456A12-4112-425A-BACE-4D6C3263F605}"/>
    <cellStyle name="Normal 5 2 2 2 2 2 2 7 3" xfId="21682" xr:uid="{2695757A-C21B-4E4E-AA6A-228A3B1CE3D4}"/>
    <cellStyle name="Normal 5 2 2 2 2 2 2 8" xfId="9017" xr:uid="{CE875934-1933-42DA-B8D7-207275F0D9BF}"/>
    <cellStyle name="Normal 5 2 2 2 2 2 2 9" xfId="17465" xr:uid="{45905889-172C-4274-9036-4BFBA09EFCB6}"/>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2 2 2" xfId="15792" xr:uid="{1ED50CD0-0D02-4DB8-A20C-05887458F550}"/>
    <cellStyle name="Normal 5 2 2 2 2 2 3 2 2 3" xfId="24239" xr:uid="{BAF3269E-95BA-4244-A7DD-309710A7F06D}"/>
    <cellStyle name="Normal 5 2 2 2 2 2 3 2 3" xfId="11574" xr:uid="{961D8A53-2D31-4E27-89D0-C153416134A5}"/>
    <cellStyle name="Normal 5 2 2 2 2 2 3 2 4" xfId="20022" xr:uid="{F4F91BB4-9B41-495C-A9B3-64CEC818FABE}"/>
    <cellStyle name="Normal 5 2 2 2 2 2 3 3" xfId="5197" xr:uid="{00000000-0005-0000-0000-000011170000}"/>
    <cellStyle name="Normal 5 2 2 2 2 2 3 3 2" xfId="13647" xr:uid="{E3D158BA-B71A-4EC3-9402-B6F1B9B982E7}"/>
    <cellStyle name="Normal 5 2 2 2 2 2 3 3 3" xfId="22094" xr:uid="{3586BA52-A256-4B26-90AA-CBB6658A0E19}"/>
    <cellStyle name="Normal 5 2 2 2 2 2 3 4" xfId="9429" xr:uid="{7B318C60-E232-4CC4-82C3-741B6597AFD7}"/>
    <cellStyle name="Normal 5 2 2 2 2 2 3 5" xfId="17877" xr:uid="{DACA9298-5D51-4CF8-AC64-1C1A98F1A09B}"/>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2 2 2" xfId="16205" xr:uid="{C1930710-60BD-4240-AB28-E4E6AB9B56EA}"/>
    <cellStyle name="Normal 5 2 2 2 2 2 4 2 2 3" xfId="24652" xr:uid="{8A265B37-7CDA-4A64-91D0-B19BBBB7174A}"/>
    <cellStyle name="Normal 5 2 2 2 2 2 4 2 3" xfId="11987" xr:uid="{0A34CB88-D16D-4AD9-9509-2630CEFEAEE8}"/>
    <cellStyle name="Normal 5 2 2 2 2 2 4 2 4" xfId="20435" xr:uid="{5E65B11E-44F2-4A1D-B4A0-5EA9A45C599D}"/>
    <cellStyle name="Normal 5 2 2 2 2 2 4 3" xfId="5610" xr:uid="{00000000-0005-0000-0000-000015170000}"/>
    <cellStyle name="Normal 5 2 2 2 2 2 4 3 2" xfId="14060" xr:uid="{E8E8042E-9F61-44E4-8165-0032DBD896C5}"/>
    <cellStyle name="Normal 5 2 2 2 2 2 4 3 3" xfId="22507" xr:uid="{9181AFBE-3C21-4015-AF00-D80E00140C61}"/>
    <cellStyle name="Normal 5 2 2 2 2 2 4 4" xfId="9842" xr:uid="{77AC10E0-F56E-4DDF-ADE0-F63179D8AB56}"/>
    <cellStyle name="Normal 5 2 2 2 2 2 4 5" xfId="18290" xr:uid="{2BB24979-C638-4A9A-88D5-44F39F01DD7A}"/>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2 2 2" xfId="16618" xr:uid="{E599D69C-A78A-41E0-9C03-F6DEC3C58FF7}"/>
    <cellStyle name="Normal 5 2 2 2 2 2 5 2 2 3" xfId="25065" xr:uid="{6AAE1CD4-391B-4F15-9C2C-36EFEAF90A91}"/>
    <cellStyle name="Normal 5 2 2 2 2 2 5 2 3" xfId="12400" xr:uid="{3DE787C0-41DF-4E9B-8F29-544056ED953F}"/>
    <cellStyle name="Normal 5 2 2 2 2 2 5 2 4" xfId="20848" xr:uid="{CAB2FF0B-8CCF-46B0-AEDB-ED7DFFAEF22D}"/>
    <cellStyle name="Normal 5 2 2 2 2 2 5 3" xfId="6023" xr:uid="{00000000-0005-0000-0000-000019170000}"/>
    <cellStyle name="Normal 5 2 2 2 2 2 5 3 2" xfId="14473" xr:uid="{B6C043E1-D50B-4EF9-B72B-7D614F1FA23C}"/>
    <cellStyle name="Normal 5 2 2 2 2 2 5 3 3" xfId="22920" xr:uid="{219ADE28-6FE9-4198-8FAF-A65D6F548E8D}"/>
    <cellStyle name="Normal 5 2 2 2 2 2 5 4" xfId="10255" xr:uid="{BACA3889-43A2-49C6-A77B-6653D018E460}"/>
    <cellStyle name="Normal 5 2 2 2 2 2 5 5" xfId="18703" xr:uid="{9D9A22BC-193F-4828-BD9B-E304D1C121D8}"/>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2 2 2" xfId="17031" xr:uid="{769A9514-3772-4C25-A8DF-F36FE22A1487}"/>
    <cellStyle name="Normal 5 2 2 2 2 2 6 2 2 3" xfId="25478" xr:uid="{1C9A5FDF-0A07-4CC7-89BA-316D527A470B}"/>
    <cellStyle name="Normal 5 2 2 2 2 2 6 2 3" xfId="12813" xr:uid="{C18DE26B-8EBB-4BD3-BD58-C0F36FFA28D2}"/>
    <cellStyle name="Normal 5 2 2 2 2 2 6 2 4" xfId="21261" xr:uid="{C12A5970-6EEE-4533-ACF2-00612A8F9FBD}"/>
    <cellStyle name="Normal 5 2 2 2 2 2 6 3" xfId="6436" xr:uid="{00000000-0005-0000-0000-00001D170000}"/>
    <cellStyle name="Normal 5 2 2 2 2 2 6 3 2" xfId="14886" xr:uid="{8999A47B-C0FD-4EBE-9F5F-AFC9CF0C41BA}"/>
    <cellStyle name="Normal 5 2 2 2 2 2 6 3 3" xfId="23333" xr:uid="{7333AC83-D6CE-4D3D-94B4-F1D04217219D}"/>
    <cellStyle name="Normal 5 2 2 2 2 2 6 4" xfId="10668" xr:uid="{92C2DFDD-04CC-4392-BA7E-36DA123E3CA7}"/>
    <cellStyle name="Normal 5 2 2 2 2 2 6 5" xfId="19116" xr:uid="{DDB8C9A1-F6BA-401A-AD20-92FD1288A1DA}"/>
    <cellStyle name="Normal 5 2 2 2 2 2 7" xfId="2566" xr:uid="{00000000-0005-0000-0000-00001E170000}"/>
    <cellStyle name="Normal 5 2 2 2 2 2 7 2" xfId="6849" xr:uid="{00000000-0005-0000-0000-00001F170000}"/>
    <cellStyle name="Normal 5 2 2 2 2 2 7 2 2" xfId="15299" xr:uid="{0F977F5B-4154-40D9-821C-7B33963376BC}"/>
    <cellStyle name="Normal 5 2 2 2 2 2 7 2 3" xfId="23746" xr:uid="{E9E9C3EE-FD1F-4AB7-8D32-F457B40BA822}"/>
    <cellStyle name="Normal 5 2 2 2 2 2 7 3" xfId="11081" xr:uid="{D1481EF1-9A65-4ED7-A20D-ABDBD3FC60FF}"/>
    <cellStyle name="Normal 5 2 2 2 2 2 7 4" xfId="19529" xr:uid="{B36E2240-8EC3-4D6A-9D9F-48194226ADC7}"/>
    <cellStyle name="Normal 5 2 2 2 2 2 8" xfId="4784" xr:uid="{00000000-0005-0000-0000-000020170000}"/>
    <cellStyle name="Normal 5 2 2 2 2 2 8 2" xfId="13234" xr:uid="{F9A5C207-8A68-438B-8AFC-232A4A05ADF1}"/>
    <cellStyle name="Normal 5 2 2 2 2 2 8 3" xfId="21681" xr:uid="{C535B85A-46CC-45A9-A1D1-AA018150C2BB}"/>
    <cellStyle name="Normal 5 2 2 2 2 2 9" xfId="9016" xr:uid="{5608E98A-7BED-4418-A3CD-D2178169671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2 2 2" xfId="15794" xr:uid="{BF269827-5943-4FBE-BA46-0177F0E15070}"/>
    <cellStyle name="Normal 5 2 2 2 2 3 2 2 2 3" xfId="24241" xr:uid="{F1F91584-C919-46B8-9FB1-29D59CA97049}"/>
    <cellStyle name="Normal 5 2 2 2 2 3 2 2 3" xfId="11576" xr:uid="{B68B9D9E-CC3C-4B0F-A822-26A6335B0416}"/>
    <cellStyle name="Normal 5 2 2 2 2 3 2 2 4" xfId="20024" xr:uid="{5381A6D2-9A87-4BA6-8E71-BBBB322B8BA0}"/>
    <cellStyle name="Normal 5 2 2 2 2 3 2 3" xfId="5199" xr:uid="{00000000-0005-0000-0000-000025170000}"/>
    <cellStyle name="Normal 5 2 2 2 2 3 2 3 2" xfId="13649" xr:uid="{585760C5-D5E7-4931-BF14-EF1C15BE7C01}"/>
    <cellStyle name="Normal 5 2 2 2 2 3 2 3 3" xfId="22096" xr:uid="{9869BA81-D45F-46BF-A407-6B6E31A9B5CF}"/>
    <cellStyle name="Normal 5 2 2 2 2 3 2 4" xfId="9431" xr:uid="{3C762EB7-631D-4071-AFA4-F5F83B47E175}"/>
    <cellStyle name="Normal 5 2 2 2 2 3 2 5" xfId="17879" xr:uid="{3162F195-F76A-4BC2-BAD5-65932F7155AA}"/>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2 2 2" xfId="16207" xr:uid="{AA1B7BD4-4DED-4AB8-B2D9-FF4CFC950D3F}"/>
    <cellStyle name="Normal 5 2 2 2 2 3 3 2 2 3" xfId="24654" xr:uid="{04072C9D-73A9-460E-84DF-CBFC6ED23231}"/>
    <cellStyle name="Normal 5 2 2 2 2 3 3 2 3" xfId="11989" xr:uid="{06E6D5A9-851F-45CC-A6C9-4AFC55A322A8}"/>
    <cellStyle name="Normal 5 2 2 2 2 3 3 2 4" xfId="20437" xr:uid="{B3A25C32-D0C8-4E39-A75D-CDBAE4FA4204}"/>
    <cellStyle name="Normal 5 2 2 2 2 3 3 3" xfId="5612" xr:uid="{00000000-0005-0000-0000-000029170000}"/>
    <cellStyle name="Normal 5 2 2 2 2 3 3 3 2" xfId="14062" xr:uid="{A0E3051E-856B-4A56-8066-86E9A89DFDA5}"/>
    <cellStyle name="Normal 5 2 2 2 2 3 3 3 3" xfId="22509" xr:uid="{134356CF-DF76-4752-8FBA-3030F859858A}"/>
    <cellStyle name="Normal 5 2 2 2 2 3 3 4" xfId="9844" xr:uid="{167ECFF7-FF03-4EB5-9BC9-04F8BB9A86F9}"/>
    <cellStyle name="Normal 5 2 2 2 2 3 3 5" xfId="18292" xr:uid="{512AA30B-D137-4D5B-8F8D-912B75CF4C39}"/>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2 2 2" xfId="16620" xr:uid="{2CFB2B24-97E7-40CD-BAC9-D0FBF712E904}"/>
    <cellStyle name="Normal 5 2 2 2 2 3 4 2 2 3" xfId="25067" xr:uid="{1F74EE0E-8C34-41EB-9461-4B9F6FE3E2F7}"/>
    <cellStyle name="Normal 5 2 2 2 2 3 4 2 3" xfId="12402" xr:uid="{0B1CF2CB-0C9F-481E-85FB-F395CEEB9AD2}"/>
    <cellStyle name="Normal 5 2 2 2 2 3 4 2 4" xfId="20850" xr:uid="{2B56FC7F-2B2D-44CA-8266-4AB8070DBFE4}"/>
    <cellStyle name="Normal 5 2 2 2 2 3 4 3" xfId="6025" xr:uid="{00000000-0005-0000-0000-00002D170000}"/>
    <cellStyle name="Normal 5 2 2 2 2 3 4 3 2" xfId="14475" xr:uid="{2AC43977-1A9A-4129-BE8F-4E89DBE80CB8}"/>
    <cellStyle name="Normal 5 2 2 2 2 3 4 3 3" xfId="22922" xr:uid="{064AE3AC-24B7-468C-B4BC-9DB0BFA8669D}"/>
    <cellStyle name="Normal 5 2 2 2 2 3 4 4" xfId="10257" xr:uid="{77A10DD9-87CF-4C7F-9BA6-8B0E63918F4F}"/>
    <cellStyle name="Normal 5 2 2 2 2 3 4 5" xfId="18705" xr:uid="{82BFC7B3-E69A-4E15-9775-4E5125AD2169}"/>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2 2 2" xfId="17033" xr:uid="{C97B192A-2BF7-4FEA-99AA-F1AE603540F9}"/>
    <cellStyle name="Normal 5 2 2 2 2 3 5 2 2 3" xfId="25480" xr:uid="{34B8FDB0-F7B4-40A2-AB6A-80683C80267D}"/>
    <cellStyle name="Normal 5 2 2 2 2 3 5 2 3" xfId="12815" xr:uid="{E8352C35-581B-4199-B60C-B7B069C8CBBB}"/>
    <cellStyle name="Normal 5 2 2 2 2 3 5 2 4" xfId="21263" xr:uid="{FD70DA07-9FB9-4C65-8617-D310470A322C}"/>
    <cellStyle name="Normal 5 2 2 2 2 3 5 3" xfId="6438" xr:uid="{00000000-0005-0000-0000-000031170000}"/>
    <cellStyle name="Normal 5 2 2 2 2 3 5 3 2" xfId="14888" xr:uid="{F0ACCD71-BA65-4BDE-82C4-77B9AA0BFB4F}"/>
    <cellStyle name="Normal 5 2 2 2 2 3 5 3 3" xfId="23335" xr:uid="{45EE3323-D753-4E22-BDA7-DF2392DB487D}"/>
    <cellStyle name="Normal 5 2 2 2 2 3 5 4" xfId="10670" xr:uid="{DCE0E0B7-31A2-43AE-AAA9-4D4A55E46F68}"/>
    <cellStyle name="Normal 5 2 2 2 2 3 5 5" xfId="19118" xr:uid="{C0AA1829-2211-4798-8C1B-F68D7C1C2728}"/>
    <cellStyle name="Normal 5 2 2 2 2 3 6" xfId="2568" xr:uid="{00000000-0005-0000-0000-000032170000}"/>
    <cellStyle name="Normal 5 2 2 2 2 3 6 2" xfId="6851" xr:uid="{00000000-0005-0000-0000-000033170000}"/>
    <cellStyle name="Normal 5 2 2 2 2 3 6 2 2" xfId="15301" xr:uid="{DFD9AE06-2F7E-421A-8FA0-4B1142821793}"/>
    <cellStyle name="Normal 5 2 2 2 2 3 6 2 3" xfId="23748" xr:uid="{4DA4B740-CF9B-42AB-9160-AD660FFADC32}"/>
    <cellStyle name="Normal 5 2 2 2 2 3 6 3" xfId="11083" xr:uid="{339F8DE5-C2B1-4E40-B5B7-2074D231A388}"/>
    <cellStyle name="Normal 5 2 2 2 2 3 6 4" xfId="19531" xr:uid="{B7AB0934-5E3D-46AE-AD69-C2E11DD6A024}"/>
    <cellStyle name="Normal 5 2 2 2 2 3 7" xfId="4786" xr:uid="{00000000-0005-0000-0000-000034170000}"/>
    <cellStyle name="Normal 5 2 2 2 2 3 7 2" xfId="13236" xr:uid="{44BC31F4-972A-4BA4-8485-B9C3533490EC}"/>
    <cellStyle name="Normal 5 2 2 2 2 3 7 3" xfId="21683" xr:uid="{1C6D2E02-6067-4386-8846-0CB187397CD5}"/>
    <cellStyle name="Normal 5 2 2 2 2 3 8" xfId="9018" xr:uid="{6251E027-3BF3-4375-BF54-B1B983C89ADA}"/>
    <cellStyle name="Normal 5 2 2 2 2 3 9" xfId="17466" xr:uid="{451993F6-5AAF-4742-A6F9-4DEE1A025124}"/>
    <cellStyle name="Normal 5 2 2 2 2 4" xfId="884" xr:uid="{00000000-0005-0000-0000-000035170000}"/>
    <cellStyle name="Normal 5 2 2 2 2 4 2" xfId="3119" xr:uid="{00000000-0005-0000-0000-000036170000}"/>
    <cellStyle name="Normal 5 2 2 2 2 4 2 2" xfId="7341" xr:uid="{00000000-0005-0000-0000-000037170000}"/>
    <cellStyle name="Normal 5 2 2 2 2 4 2 2 2" xfId="15791" xr:uid="{5A2E9A62-FFD9-4574-8348-7813C3C0A8E7}"/>
    <cellStyle name="Normal 5 2 2 2 2 4 2 2 3" xfId="24238" xr:uid="{907991CB-A20C-43A7-AEB2-21E96A143DC5}"/>
    <cellStyle name="Normal 5 2 2 2 2 4 2 3" xfId="11573" xr:uid="{E09CB1AC-1B31-45F0-9348-56CAC3E252C1}"/>
    <cellStyle name="Normal 5 2 2 2 2 4 2 4" xfId="20021" xr:uid="{8E6B97DF-99D6-4A01-9015-932BBC8CDB56}"/>
    <cellStyle name="Normal 5 2 2 2 2 4 3" xfId="5196" xr:uid="{00000000-0005-0000-0000-000038170000}"/>
    <cellStyle name="Normal 5 2 2 2 2 4 3 2" xfId="13646" xr:uid="{A8BC989D-C0D4-46B0-8006-F3A17EBB462D}"/>
    <cellStyle name="Normal 5 2 2 2 2 4 3 3" xfId="22093" xr:uid="{77F3AD42-3B66-42BC-848C-7A9C7693C673}"/>
    <cellStyle name="Normal 5 2 2 2 2 4 4" xfId="9428" xr:uid="{6B05DBBC-AEA9-4B7A-BDB5-6868057A1291}"/>
    <cellStyle name="Normal 5 2 2 2 2 4 5" xfId="17876" xr:uid="{D5E5C02A-0DAA-4D46-BEF5-26043D34C3DE}"/>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2 2 2" xfId="16204" xr:uid="{4DF6C698-34BE-4855-BE70-6E809D7DF254}"/>
    <cellStyle name="Normal 5 2 2 2 2 5 2 2 3" xfId="24651" xr:uid="{E20A5272-0D17-4C5F-BB24-E4D257F2D140}"/>
    <cellStyle name="Normal 5 2 2 2 2 5 2 3" xfId="11986" xr:uid="{3DF058FF-BD75-4BE1-900C-C89EC3761021}"/>
    <cellStyle name="Normal 5 2 2 2 2 5 2 4" xfId="20434" xr:uid="{60C58E57-4348-4F5A-B010-F4D269310A5D}"/>
    <cellStyle name="Normal 5 2 2 2 2 5 3" xfId="5609" xr:uid="{00000000-0005-0000-0000-00003C170000}"/>
    <cellStyle name="Normal 5 2 2 2 2 5 3 2" xfId="14059" xr:uid="{BBB00EDB-6C06-4A8E-A4F9-81789165AD0D}"/>
    <cellStyle name="Normal 5 2 2 2 2 5 3 3" xfId="22506" xr:uid="{4B475B45-FA1F-47D1-B3F0-3956C29D2149}"/>
    <cellStyle name="Normal 5 2 2 2 2 5 4" xfId="9841" xr:uid="{8AB40D02-DF73-4177-B394-FB277AC1F1A2}"/>
    <cellStyle name="Normal 5 2 2 2 2 5 5" xfId="18289" xr:uid="{EA5C7A16-BAD3-41D7-B15A-C16956B688E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2 2 2" xfId="16617" xr:uid="{E24EA830-F0D8-4E55-B400-17EAF1545919}"/>
    <cellStyle name="Normal 5 2 2 2 2 6 2 2 3" xfId="25064" xr:uid="{97FD9E42-8352-4290-989B-FAF02B85F9B6}"/>
    <cellStyle name="Normal 5 2 2 2 2 6 2 3" xfId="12399" xr:uid="{D91BC37E-D06B-414C-80C2-6D935E596E7F}"/>
    <cellStyle name="Normal 5 2 2 2 2 6 2 4" xfId="20847" xr:uid="{56A456E4-CA3B-4E5B-B6FE-997EF3C920D1}"/>
    <cellStyle name="Normal 5 2 2 2 2 6 3" xfId="6022" xr:uid="{00000000-0005-0000-0000-000040170000}"/>
    <cellStyle name="Normal 5 2 2 2 2 6 3 2" xfId="14472" xr:uid="{8963B2A7-F407-488E-AC7D-5DB78157E961}"/>
    <cellStyle name="Normal 5 2 2 2 2 6 3 3" xfId="22919" xr:uid="{ED1C6F36-26FA-43EB-8F20-A0EB7E972DAC}"/>
    <cellStyle name="Normal 5 2 2 2 2 6 4" xfId="10254" xr:uid="{8625030A-B4CF-4C1C-B357-55DC8C6A0FB9}"/>
    <cellStyle name="Normal 5 2 2 2 2 6 5" xfId="18702" xr:uid="{3DA4A0A0-E942-4B64-B24F-E1915BE40191}"/>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2 2 2" xfId="17030" xr:uid="{1AEB74CB-F1F7-44C1-933D-D7E8378F4A7C}"/>
    <cellStyle name="Normal 5 2 2 2 2 7 2 2 3" xfId="25477" xr:uid="{04C3D401-7552-4D37-A12B-6EBBD8D9E5A7}"/>
    <cellStyle name="Normal 5 2 2 2 2 7 2 3" xfId="12812" xr:uid="{CB4F6748-655C-4B2E-BC00-D68605F66B77}"/>
    <cellStyle name="Normal 5 2 2 2 2 7 2 4" xfId="21260" xr:uid="{00D10689-798D-4504-9EBE-1014F9268519}"/>
    <cellStyle name="Normal 5 2 2 2 2 7 3" xfId="6435" xr:uid="{00000000-0005-0000-0000-000044170000}"/>
    <cellStyle name="Normal 5 2 2 2 2 7 3 2" xfId="14885" xr:uid="{35683A35-596E-4DFA-A627-65ED6F405466}"/>
    <cellStyle name="Normal 5 2 2 2 2 7 3 3" xfId="23332" xr:uid="{E03868CC-297C-41A8-A191-7B91506991BB}"/>
    <cellStyle name="Normal 5 2 2 2 2 7 4" xfId="10667" xr:uid="{846CDE7A-B1C0-4857-B423-3A6825387B41}"/>
    <cellStyle name="Normal 5 2 2 2 2 7 5" xfId="19115" xr:uid="{867E05F9-ADB3-461A-BFE8-F3FDCC1A3572}"/>
    <cellStyle name="Normal 5 2 2 2 2 8" xfId="2565" xr:uid="{00000000-0005-0000-0000-000045170000}"/>
    <cellStyle name="Normal 5 2 2 2 2 8 2" xfId="6848" xr:uid="{00000000-0005-0000-0000-000046170000}"/>
    <cellStyle name="Normal 5 2 2 2 2 8 2 2" xfId="15298" xr:uid="{86ED601D-791E-4861-9C95-2B26BE56384F}"/>
    <cellStyle name="Normal 5 2 2 2 2 8 2 3" xfId="23745" xr:uid="{62B00F52-C039-4463-9F76-CC7D26450A47}"/>
    <cellStyle name="Normal 5 2 2 2 2 8 3" xfId="11080" xr:uid="{4368C912-9331-4731-8E44-1D9040BDC844}"/>
    <cellStyle name="Normal 5 2 2 2 2 8 4" xfId="19528" xr:uid="{8A145782-DB79-4C0B-9C4B-9E72293D0F81}"/>
    <cellStyle name="Normal 5 2 2 2 2 9" xfId="4783" xr:uid="{00000000-0005-0000-0000-000047170000}"/>
    <cellStyle name="Normal 5 2 2 2 2 9 2" xfId="13233" xr:uid="{13DF2A44-48E9-4876-847A-EFADEB6DA49D}"/>
    <cellStyle name="Normal 5 2 2 2 2 9 3" xfId="21680" xr:uid="{AB4FA46C-B31E-4730-9E71-3064DB2337E9}"/>
    <cellStyle name="Normal 5 2 2 2 3" xfId="414" xr:uid="{00000000-0005-0000-0000-000048170000}"/>
    <cellStyle name="Normal 5 2 2 2 3 10" xfId="17467" xr:uid="{03F5B90B-D4D5-40EF-ABDA-59F4E75C261F}"/>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2 2 2" xfId="15796" xr:uid="{13F6782D-71E7-4AB0-AB02-7753ECDEBA61}"/>
    <cellStyle name="Normal 5 2 2 2 3 2 2 2 2 3" xfId="24243" xr:uid="{88FBB0EA-D99C-4536-909B-E1684BC4E0AE}"/>
    <cellStyle name="Normal 5 2 2 2 3 2 2 2 3" xfId="11578" xr:uid="{51E7E581-CB94-4A01-B488-75FD26C6FFDE}"/>
    <cellStyle name="Normal 5 2 2 2 3 2 2 2 4" xfId="20026" xr:uid="{DE25E796-CA44-4ECF-A10E-CA07240FDB76}"/>
    <cellStyle name="Normal 5 2 2 2 3 2 2 3" xfId="5201" xr:uid="{00000000-0005-0000-0000-00004D170000}"/>
    <cellStyle name="Normal 5 2 2 2 3 2 2 3 2" xfId="13651" xr:uid="{14B641B3-1A6C-4123-8B9A-4A4FF6EB7D3F}"/>
    <cellStyle name="Normal 5 2 2 2 3 2 2 3 3" xfId="22098" xr:uid="{E6046038-0135-4AE2-8175-B048883F0036}"/>
    <cellStyle name="Normal 5 2 2 2 3 2 2 4" xfId="9433" xr:uid="{E2A3F4FC-07C3-4F61-B4AF-BFCC7E9C6068}"/>
    <cellStyle name="Normal 5 2 2 2 3 2 2 5" xfId="17881" xr:uid="{729ABE9B-F6A4-4C2A-A849-A9C61D68CAFE}"/>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2 2 2" xfId="16209" xr:uid="{2211552C-601B-45A9-A321-0FCFCB35F216}"/>
    <cellStyle name="Normal 5 2 2 2 3 2 3 2 2 3" xfId="24656" xr:uid="{0E465BDD-1190-4110-8002-057921271EEC}"/>
    <cellStyle name="Normal 5 2 2 2 3 2 3 2 3" xfId="11991" xr:uid="{5A0DF10B-3485-4DCA-9664-5529CA944012}"/>
    <cellStyle name="Normal 5 2 2 2 3 2 3 2 4" xfId="20439" xr:uid="{67A28C9F-838A-466A-86AA-C5C2EA8565E9}"/>
    <cellStyle name="Normal 5 2 2 2 3 2 3 3" xfId="5614" xr:uid="{00000000-0005-0000-0000-000051170000}"/>
    <cellStyle name="Normal 5 2 2 2 3 2 3 3 2" xfId="14064" xr:uid="{708E0041-A824-462F-8DBD-A6D4BCD9E3A2}"/>
    <cellStyle name="Normal 5 2 2 2 3 2 3 3 3" xfId="22511" xr:uid="{FEAD026E-6D25-4A36-8A6E-F5BB2D47797F}"/>
    <cellStyle name="Normal 5 2 2 2 3 2 3 4" xfId="9846" xr:uid="{5C2C82E8-A4A9-4F38-960E-F238383A995C}"/>
    <cellStyle name="Normal 5 2 2 2 3 2 3 5" xfId="18294" xr:uid="{0E4C88D9-E9BB-4147-8F45-7E96C15C92A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2 2 2" xfId="16622" xr:uid="{F0465E81-CADE-4F9D-A428-22632AD38C67}"/>
    <cellStyle name="Normal 5 2 2 2 3 2 4 2 2 3" xfId="25069" xr:uid="{EF800455-0D23-42B3-A3B7-048E223651D8}"/>
    <cellStyle name="Normal 5 2 2 2 3 2 4 2 3" xfId="12404" xr:uid="{E9E57113-EC7F-4978-B952-4F7E63BEC079}"/>
    <cellStyle name="Normal 5 2 2 2 3 2 4 2 4" xfId="20852" xr:uid="{2D9C4805-FA9C-41CD-8242-FA63D4DCB216}"/>
    <cellStyle name="Normal 5 2 2 2 3 2 4 3" xfId="6027" xr:uid="{00000000-0005-0000-0000-000055170000}"/>
    <cellStyle name="Normal 5 2 2 2 3 2 4 3 2" xfId="14477" xr:uid="{125D588F-CE9D-4944-9157-8C54B2E5923C}"/>
    <cellStyle name="Normal 5 2 2 2 3 2 4 3 3" xfId="22924" xr:uid="{86514455-CE6D-49BD-AA47-F9D2466B128E}"/>
    <cellStyle name="Normal 5 2 2 2 3 2 4 4" xfId="10259" xr:uid="{20C75744-4825-4AC6-A77C-B1B63E46A8DE}"/>
    <cellStyle name="Normal 5 2 2 2 3 2 4 5" xfId="18707" xr:uid="{E9DD75B5-11CB-487A-AC97-F8F0B1C0393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2 2 2" xfId="17035" xr:uid="{199198C7-8356-4D6C-B6E4-B92996C9A5E2}"/>
    <cellStyle name="Normal 5 2 2 2 3 2 5 2 2 3" xfId="25482" xr:uid="{1635364F-5859-4607-B73C-17A423F14C30}"/>
    <cellStyle name="Normal 5 2 2 2 3 2 5 2 3" xfId="12817" xr:uid="{9FC91807-5CEE-4004-B044-C97F575EFB2B}"/>
    <cellStyle name="Normal 5 2 2 2 3 2 5 2 4" xfId="21265" xr:uid="{0BC91C7B-2405-4BAD-93DB-A896CC449002}"/>
    <cellStyle name="Normal 5 2 2 2 3 2 5 3" xfId="6440" xr:uid="{00000000-0005-0000-0000-000059170000}"/>
    <cellStyle name="Normal 5 2 2 2 3 2 5 3 2" xfId="14890" xr:uid="{ECC00EF8-2E15-4391-9B37-048D54FC7837}"/>
    <cellStyle name="Normal 5 2 2 2 3 2 5 3 3" xfId="23337" xr:uid="{D91D6F12-660B-49E5-9706-ADE4662478CC}"/>
    <cellStyle name="Normal 5 2 2 2 3 2 5 4" xfId="10672" xr:uid="{F5F50B32-65E8-4056-92CA-521E875601B6}"/>
    <cellStyle name="Normal 5 2 2 2 3 2 5 5" xfId="19120" xr:uid="{5CD00D13-52A6-45A9-98D7-EA58A0B399A9}"/>
    <cellStyle name="Normal 5 2 2 2 3 2 6" xfId="2570" xr:uid="{00000000-0005-0000-0000-00005A170000}"/>
    <cellStyle name="Normal 5 2 2 2 3 2 6 2" xfId="6853" xr:uid="{00000000-0005-0000-0000-00005B170000}"/>
    <cellStyle name="Normal 5 2 2 2 3 2 6 2 2" xfId="15303" xr:uid="{B70E92E5-26A0-4322-A7BB-5DDC584F40A2}"/>
    <cellStyle name="Normal 5 2 2 2 3 2 6 2 3" xfId="23750" xr:uid="{4E5F111D-1F97-4BAB-B7ED-26C7EDFA15E0}"/>
    <cellStyle name="Normal 5 2 2 2 3 2 6 3" xfId="11085" xr:uid="{B9D60BF3-6F81-4217-8832-50E2D37EC393}"/>
    <cellStyle name="Normal 5 2 2 2 3 2 6 4" xfId="19533" xr:uid="{EFF62770-F3D3-47F4-8A1D-31761A5CFBC3}"/>
    <cellStyle name="Normal 5 2 2 2 3 2 7" xfId="4788" xr:uid="{00000000-0005-0000-0000-00005C170000}"/>
    <cellStyle name="Normal 5 2 2 2 3 2 7 2" xfId="13238" xr:uid="{6D7FF75E-1A5C-470D-80C0-AC4E7280B10E}"/>
    <cellStyle name="Normal 5 2 2 2 3 2 7 3" xfId="21685" xr:uid="{8ED1705E-250A-4720-BF39-D74B6E8178C1}"/>
    <cellStyle name="Normal 5 2 2 2 3 2 8" xfId="9020" xr:uid="{E6DF0E30-466D-4C31-95B1-ED278AD5B043}"/>
    <cellStyle name="Normal 5 2 2 2 3 2 9" xfId="17468" xr:uid="{8F22E360-53C6-4F33-B855-B3AB5F8225D1}"/>
    <cellStyle name="Normal 5 2 2 2 3 3" xfId="888" xr:uid="{00000000-0005-0000-0000-00005D170000}"/>
    <cellStyle name="Normal 5 2 2 2 3 3 2" xfId="3123" xr:uid="{00000000-0005-0000-0000-00005E170000}"/>
    <cellStyle name="Normal 5 2 2 2 3 3 2 2" xfId="7345" xr:uid="{00000000-0005-0000-0000-00005F170000}"/>
    <cellStyle name="Normal 5 2 2 2 3 3 2 2 2" xfId="15795" xr:uid="{87373228-7390-444D-97A7-01A41C9501AD}"/>
    <cellStyle name="Normal 5 2 2 2 3 3 2 2 3" xfId="24242" xr:uid="{8D59152B-AB36-46AC-8E97-23324ACB9C41}"/>
    <cellStyle name="Normal 5 2 2 2 3 3 2 3" xfId="11577" xr:uid="{6A2FE32C-98D0-4176-B0E0-95F60D41F9FA}"/>
    <cellStyle name="Normal 5 2 2 2 3 3 2 4" xfId="20025" xr:uid="{35427200-82B8-4B33-BF61-0A88B80FACD0}"/>
    <cellStyle name="Normal 5 2 2 2 3 3 3" xfId="5200" xr:uid="{00000000-0005-0000-0000-000060170000}"/>
    <cellStyle name="Normal 5 2 2 2 3 3 3 2" xfId="13650" xr:uid="{F5C63C53-3F2E-40A1-9185-F612B51A44D5}"/>
    <cellStyle name="Normal 5 2 2 2 3 3 3 3" xfId="22097" xr:uid="{B340D03A-EDD3-43F4-B6B8-CB26ECB81EBF}"/>
    <cellStyle name="Normal 5 2 2 2 3 3 4" xfId="9432" xr:uid="{AA833B88-6094-4503-B864-8CAC5D60FFD0}"/>
    <cellStyle name="Normal 5 2 2 2 3 3 5" xfId="17880" xr:uid="{7D8605C8-2A52-4A21-9AD2-C2DF4D61BDDC}"/>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2 2 2" xfId="16208" xr:uid="{200C23B0-57C0-47EA-9796-92163DF04F93}"/>
    <cellStyle name="Normal 5 2 2 2 3 4 2 2 3" xfId="24655" xr:uid="{FEF448F4-F1FD-4E4C-AA26-B9163AA786CE}"/>
    <cellStyle name="Normal 5 2 2 2 3 4 2 3" xfId="11990" xr:uid="{D2D3450D-6B12-4CAA-9222-8F24DBB72917}"/>
    <cellStyle name="Normal 5 2 2 2 3 4 2 4" xfId="20438" xr:uid="{D35D86B3-3DD5-42FB-B8DC-1C2F48301A64}"/>
    <cellStyle name="Normal 5 2 2 2 3 4 3" xfId="5613" xr:uid="{00000000-0005-0000-0000-000064170000}"/>
    <cellStyle name="Normal 5 2 2 2 3 4 3 2" xfId="14063" xr:uid="{B55E5450-5DDF-484F-882E-676ACD7CE064}"/>
    <cellStyle name="Normal 5 2 2 2 3 4 3 3" xfId="22510" xr:uid="{76D31789-FE6C-4816-ACF4-2DF211B1B413}"/>
    <cellStyle name="Normal 5 2 2 2 3 4 4" xfId="9845" xr:uid="{2A861551-7F5D-4AE3-84F6-D971933AB2A6}"/>
    <cellStyle name="Normal 5 2 2 2 3 4 5" xfId="18293" xr:uid="{3AADDF39-8F0C-4811-B042-C95D4D91D0C7}"/>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2 2 2" xfId="16621" xr:uid="{AEF2370F-482E-46C2-BB16-125CC392FE0D}"/>
    <cellStyle name="Normal 5 2 2 2 3 5 2 2 3" xfId="25068" xr:uid="{A0662B79-FC23-444A-BF6D-652282615769}"/>
    <cellStyle name="Normal 5 2 2 2 3 5 2 3" xfId="12403" xr:uid="{00BBDAF4-2B65-42FB-BAD6-2F2CA5C0BAB1}"/>
    <cellStyle name="Normal 5 2 2 2 3 5 2 4" xfId="20851" xr:uid="{D60835D2-1110-4040-A064-5B328DF72A3D}"/>
    <cellStyle name="Normal 5 2 2 2 3 5 3" xfId="6026" xr:uid="{00000000-0005-0000-0000-000068170000}"/>
    <cellStyle name="Normal 5 2 2 2 3 5 3 2" xfId="14476" xr:uid="{61FCC581-BDD6-4090-B77A-E76087F8ED93}"/>
    <cellStyle name="Normal 5 2 2 2 3 5 3 3" xfId="22923" xr:uid="{C95AEED6-D8D9-4918-BCE2-7141CD108052}"/>
    <cellStyle name="Normal 5 2 2 2 3 5 4" xfId="10258" xr:uid="{812931B7-7FB2-4842-9A0C-1D2B1F0F48DB}"/>
    <cellStyle name="Normal 5 2 2 2 3 5 5" xfId="18706" xr:uid="{19DAC461-859A-483E-83B8-410F632AF38F}"/>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2 2 2" xfId="17034" xr:uid="{B0C22B1F-C1FB-4A86-BA86-A33B7A0E9A2D}"/>
    <cellStyle name="Normal 5 2 2 2 3 6 2 2 3" xfId="25481" xr:uid="{6CF0F9A1-8F23-441F-B6E5-AD55B3B770CA}"/>
    <cellStyle name="Normal 5 2 2 2 3 6 2 3" xfId="12816" xr:uid="{B16532D3-6088-4E19-8E01-31D53C6B5255}"/>
    <cellStyle name="Normal 5 2 2 2 3 6 2 4" xfId="21264" xr:uid="{EDF954E0-3575-4DD9-8AE3-9A8567B39D81}"/>
    <cellStyle name="Normal 5 2 2 2 3 6 3" xfId="6439" xr:uid="{00000000-0005-0000-0000-00006C170000}"/>
    <cellStyle name="Normal 5 2 2 2 3 6 3 2" xfId="14889" xr:uid="{4CEC4C7F-8ABA-439C-8BB2-D78F881B1658}"/>
    <cellStyle name="Normal 5 2 2 2 3 6 3 3" xfId="23336" xr:uid="{84091500-AB9F-4780-83E4-AAA7451506BB}"/>
    <cellStyle name="Normal 5 2 2 2 3 6 4" xfId="10671" xr:uid="{D4471117-3B35-4BF1-9769-2647C13F5B4F}"/>
    <cellStyle name="Normal 5 2 2 2 3 6 5" xfId="19119" xr:uid="{C561E46F-1930-4555-9379-225240A1AA9F}"/>
    <cellStyle name="Normal 5 2 2 2 3 7" xfId="2569" xr:uid="{00000000-0005-0000-0000-00006D170000}"/>
    <cellStyle name="Normal 5 2 2 2 3 7 2" xfId="6852" xr:uid="{00000000-0005-0000-0000-00006E170000}"/>
    <cellStyle name="Normal 5 2 2 2 3 7 2 2" xfId="15302" xr:uid="{564B878C-70FC-41E6-8610-3C5CB4EDB87C}"/>
    <cellStyle name="Normal 5 2 2 2 3 7 2 3" xfId="23749" xr:uid="{441E2BD8-9717-4EC8-B12A-4584B9563349}"/>
    <cellStyle name="Normal 5 2 2 2 3 7 3" xfId="11084" xr:uid="{532F7BC0-7CCF-4B7C-A88A-01407C88C5DB}"/>
    <cellStyle name="Normal 5 2 2 2 3 7 4" xfId="19532" xr:uid="{A11C355A-873A-4B2A-ACF1-CB6084DA8956}"/>
    <cellStyle name="Normal 5 2 2 2 3 8" xfId="4787" xr:uid="{00000000-0005-0000-0000-00006F170000}"/>
    <cellStyle name="Normal 5 2 2 2 3 8 2" xfId="13237" xr:uid="{42E3D86B-D791-4E4C-874D-DE5BAC9E3969}"/>
    <cellStyle name="Normal 5 2 2 2 3 8 3" xfId="21684" xr:uid="{60EAE3DA-C25B-49F4-9939-BCF79B7E88A1}"/>
    <cellStyle name="Normal 5 2 2 2 3 9" xfId="9019" xr:uid="{C64E4CBE-7C10-4A6A-9496-927E46BFEC67}"/>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2 2 2" xfId="15797" xr:uid="{4FE6FCF4-30FD-4AB7-819A-7FF5184A5EEA}"/>
    <cellStyle name="Normal 5 2 2 2 4 2 2 2 3" xfId="24244" xr:uid="{2BD52B48-7DE9-47E3-800B-E2E3F310BCBF}"/>
    <cellStyle name="Normal 5 2 2 2 4 2 2 3" xfId="11579" xr:uid="{52840748-39EA-4481-A05D-99E5A02ED432}"/>
    <cellStyle name="Normal 5 2 2 2 4 2 2 4" xfId="20027" xr:uid="{805905EF-4FC0-4E92-9AAD-979C6E100BA6}"/>
    <cellStyle name="Normal 5 2 2 2 4 2 3" xfId="5202" xr:uid="{00000000-0005-0000-0000-000074170000}"/>
    <cellStyle name="Normal 5 2 2 2 4 2 3 2" xfId="13652" xr:uid="{9F0351A9-C74A-45B9-8572-3B5E5D4932CD}"/>
    <cellStyle name="Normal 5 2 2 2 4 2 3 3" xfId="22099" xr:uid="{C7446143-2C3A-49D4-A064-947483A708BE}"/>
    <cellStyle name="Normal 5 2 2 2 4 2 4" xfId="9434" xr:uid="{60FA4420-F0EF-4424-ACF2-580AADFEF02D}"/>
    <cellStyle name="Normal 5 2 2 2 4 2 5" xfId="17882" xr:uid="{E4E4A7DE-ED73-4450-978E-337885AA05BB}"/>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2 2 2" xfId="16210" xr:uid="{59896595-F53D-4950-9A71-5A85F8AD6C61}"/>
    <cellStyle name="Normal 5 2 2 2 4 3 2 2 3" xfId="24657" xr:uid="{9705CF7C-741B-4803-A9FB-F8A0FCF89BE6}"/>
    <cellStyle name="Normal 5 2 2 2 4 3 2 3" xfId="11992" xr:uid="{843A044A-CD8F-4FC1-B315-41FB1D64C440}"/>
    <cellStyle name="Normal 5 2 2 2 4 3 2 4" xfId="20440" xr:uid="{5BAC8B13-DA18-4FF4-B3A9-6146F4FBD98D}"/>
    <cellStyle name="Normal 5 2 2 2 4 3 3" xfId="5615" xr:uid="{00000000-0005-0000-0000-000078170000}"/>
    <cellStyle name="Normal 5 2 2 2 4 3 3 2" xfId="14065" xr:uid="{D0920BBE-20AC-47D3-A45B-3078F5BC6E77}"/>
    <cellStyle name="Normal 5 2 2 2 4 3 3 3" xfId="22512" xr:uid="{5A7DE0CE-5D5F-4F11-B58B-99E180FC1750}"/>
    <cellStyle name="Normal 5 2 2 2 4 3 4" xfId="9847" xr:uid="{C13E0798-F886-4B87-A65A-7F742344C282}"/>
    <cellStyle name="Normal 5 2 2 2 4 3 5" xfId="18295" xr:uid="{5F3EFEB7-3C65-4358-A531-8BCFEC22BE7D}"/>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2 2 2" xfId="16623" xr:uid="{060B67B1-80C7-44D8-939C-D33695838D20}"/>
    <cellStyle name="Normal 5 2 2 2 4 4 2 2 3" xfId="25070" xr:uid="{F7549DBA-3B66-4A63-90AA-38313732E24A}"/>
    <cellStyle name="Normal 5 2 2 2 4 4 2 3" xfId="12405" xr:uid="{FA52AE45-637D-4BAE-902D-6D2E9F435323}"/>
    <cellStyle name="Normal 5 2 2 2 4 4 2 4" xfId="20853" xr:uid="{E57D5832-0AAC-4679-AB87-56B3F97DC67B}"/>
    <cellStyle name="Normal 5 2 2 2 4 4 3" xfId="6028" xr:uid="{00000000-0005-0000-0000-00007C170000}"/>
    <cellStyle name="Normal 5 2 2 2 4 4 3 2" xfId="14478" xr:uid="{2F0C73F1-C448-4E21-9F43-333436A2B684}"/>
    <cellStyle name="Normal 5 2 2 2 4 4 3 3" xfId="22925" xr:uid="{E26F1273-F0BF-4741-B3BA-CEF3634DFD45}"/>
    <cellStyle name="Normal 5 2 2 2 4 4 4" xfId="10260" xr:uid="{22473F52-AEB9-40E9-8F8C-6E1C39C7A07D}"/>
    <cellStyle name="Normal 5 2 2 2 4 4 5" xfId="18708" xr:uid="{4727400D-63E8-442E-B718-2ED0410CED31}"/>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2 2 2" xfId="17036" xr:uid="{ADD98974-56DB-48ED-AF0F-60D7A234424A}"/>
    <cellStyle name="Normal 5 2 2 2 4 5 2 2 3" xfId="25483" xr:uid="{642EC884-EBA7-43C5-9AA6-9D2FE68570B8}"/>
    <cellStyle name="Normal 5 2 2 2 4 5 2 3" xfId="12818" xr:uid="{F97592D6-BF5B-4A30-A038-9E24C82715F8}"/>
    <cellStyle name="Normal 5 2 2 2 4 5 2 4" xfId="21266" xr:uid="{43432FB0-6D42-45AC-AC3C-0B311A275375}"/>
    <cellStyle name="Normal 5 2 2 2 4 5 3" xfId="6441" xr:uid="{00000000-0005-0000-0000-000080170000}"/>
    <cellStyle name="Normal 5 2 2 2 4 5 3 2" xfId="14891" xr:uid="{16757B86-2DAC-413B-AC09-827145CD519D}"/>
    <cellStyle name="Normal 5 2 2 2 4 5 3 3" xfId="23338" xr:uid="{A81CAA0B-0E99-432B-97E6-990ECBDE89FB}"/>
    <cellStyle name="Normal 5 2 2 2 4 5 4" xfId="10673" xr:uid="{40F377B9-5AA3-4E0D-984F-2548BB2B46EE}"/>
    <cellStyle name="Normal 5 2 2 2 4 5 5" xfId="19121" xr:uid="{92BBA4A9-720E-4A2D-9AC3-7B73C49E3719}"/>
    <cellStyle name="Normal 5 2 2 2 4 6" xfId="2571" xr:uid="{00000000-0005-0000-0000-000081170000}"/>
    <cellStyle name="Normal 5 2 2 2 4 6 2" xfId="6854" xr:uid="{00000000-0005-0000-0000-000082170000}"/>
    <cellStyle name="Normal 5 2 2 2 4 6 2 2" xfId="15304" xr:uid="{EF7E1890-021A-4465-AA82-2B3BA61CD8E0}"/>
    <cellStyle name="Normal 5 2 2 2 4 6 2 3" xfId="23751" xr:uid="{373ACD2C-386D-4D4C-86B0-3BBA397298D0}"/>
    <cellStyle name="Normal 5 2 2 2 4 6 3" xfId="11086" xr:uid="{E4BCDE99-2D63-45B1-9223-3D6B112ACF82}"/>
    <cellStyle name="Normal 5 2 2 2 4 6 4" xfId="19534" xr:uid="{5D375AB6-0BD8-4A48-A3B2-C904C677468B}"/>
    <cellStyle name="Normal 5 2 2 2 4 7" xfId="4789" xr:uid="{00000000-0005-0000-0000-000083170000}"/>
    <cellStyle name="Normal 5 2 2 2 4 7 2" xfId="13239" xr:uid="{A8F01D41-A185-4279-9A78-660054AB7192}"/>
    <cellStyle name="Normal 5 2 2 2 4 7 3" xfId="21686" xr:uid="{6FD30806-AA34-42DF-9D9D-C9DA2A00C367}"/>
    <cellStyle name="Normal 5 2 2 2 4 8" xfId="9021" xr:uid="{69EB2D67-06DB-4B92-9DCF-E5497CAEF90A}"/>
    <cellStyle name="Normal 5 2 2 2 4 9" xfId="17469" xr:uid="{AD145DA1-93DF-4DD0-BA3D-3AF0F1D2F2DD}"/>
    <cellStyle name="Normal 5 2 2 2 5" xfId="883" xr:uid="{00000000-0005-0000-0000-000084170000}"/>
    <cellStyle name="Normal 5 2 2 2 5 2" xfId="3118" xr:uid="{00000000-0005-0000-0000-000085170000}"/>
    <cellStyle name="Normal 5 2 2 2 5 2 2" xfId="7340" xr:uid="{00000000-0005-0000-0000-000086170000}"/>
    <cellStyle name="Normal 5 2 2 2 5 2 2 2" xfId="15790" xr:uid="{F92FC82F-581A-4B04-9BC8-4933B43C3561}"/>
    <cellStyle name="Normal 5 2 2 2 5 2 2 3" xfId="24237" xr:uid="{1CB15C8C-8A55-42D5-901A-42962F899FDF}"/>
    <cellStyle name="Normal 5 2 2 2 5 2 3" xfId="11572" xr:uid="{54D61AC7-F2AB-4C7A-99AD-A71E98F8C849}"/>
    <cellStyle name="Normal 5 2 2 2 5 2 4" xfId="20020" xr:uid="{859EDDC7-67C6-49C1-A052-CC8C86F4E0D1}"/>
    <cellStyle name="Normal 5 2 2 2 5 3" xfId="5195" xr:uid="{00000000-0005-0000-0000-000087170000}"/>
    <cellStyle name="Normal 5 2 2 2 5 3 2" xfId="13645" xr:uid="{7FB2463E-B484-4945-A539-D819520839E3}"/>
    <cellStyle name="Normal 5 2 2 2 5 3 3" xfId="22092" xr:uid="{86A0ACDA-50EF-494F-BD4C-9603F9B716F3}"/>
    <cellStyle name="Normal 5 2 2 2 5 4" xfId="9427" xr:uid="{01956464-7E16-4158-B807-B04ECD3997D9}"/>
    <cellStyle name="Normal 5 2 2 2 5 5" xfId="17875" xr:uid="{D08949D9-CAB3-43DE-8070-3689A27EB1C5}"/>
    <cellStyle name="Normal 5 2 2 2 6" xfId="1301" xr:uid="{00000000-0005-0000-0000-000088170000}"/>
    <cellStyle name="Normal 5 2 2 2 6 2" xfId="3531" xr:uid="{00000000-0005-0000-0000-000089170000}"/>
    <cellStyle name="Normal 5 2 2 2 6 2 2" xfId="7753" xr:uid="{00000000-0005-0000-0000-00008A170000}"/>
    <cellStyle name="Normal 5 2 2 2 6 2 2 2" xfId="16203" xr:uid="{E7F4A419-793C-4AD1-A318-E64DE321EAE2}"/>
    <cellStyle name="Normal 5 2 2 2 6 2 2 3" xfId="24650" xr:uid="{9E4D832B-62B0-4BF9-A7F4-20AA99ADF788}"/>
    <cellStyle name="Normal 5 2 2 2 6 2 3" xfId="11985" xr:uid="{C9B6A725-BE41-42E2-A8F1-2737696B0B52}"/>
    <cellStyle name="Normal 5 2 2 2 6 2 4" xfId="20433" xr:uid="{62287E10-8D44-49D0-AD44-63E16920A0ED}"/>
    <cellStyle name="Normal 5 2 2 2 6 3" xfId="5608" xr:uid="{00000000-0005-0000-0000-00008B170000}"/>
    <cellStyle name="Normal 5 2 2 2 6 3 2" xfId="14058" xr:uid="{71F9931D-EC72-401D-A87C-82B56636E357}"/>
    <cellStyle name="Normal 5 2 2 2 6 3 3" xfId="22505" xr:uid="{1503921D-E972-4D3C-B097-14C9F4E08430}"/>
    <cellStyle name="Normal 5 2 2 2 6 4" xfId="9840" xr:uid="{A5FA7350-F4AD-4DF2-9DB7-BF0840C2C910}"/>
    <cellStyle name="Normal 5 2 2 2 6 5" xfId="18288" xr:uid="{B4AC0818-1026-4034-9356-041FB5E260AE}"/>
    <cellStyle name="Normal 5 2 2 2 7" xfId="1714" xr:uid="{00000000-0005-0000-0000-00008C170000}"/>
    <cellStyle name="Normal 5 2 2 2 7 2" xfId="3944" xr:uid="{00000000-0005-0000-0000-00008D170000}"/>
    <cellStyle name="Normal 5 2 2 2 7 2 2" xfId="8166" xr:uid="{00000000-0005-0000-0000-00008E170000}"/>
    <cellStyle name="Normal 5 2 2 2 7 2 2 2" xfId="16616" xr:uid="{3D6FF756-71C0-4803-99A3-13BA30444CBB}"/>
    <cellStyle name="Normal 5 2 2 2 7 2 2 3" xfId="25063" xr:uid="{2697E33C-FE34-4604-9619-E81A393EE34B}"/>
    <cellStyle name="Normal 5 2 2 2 7 2 3" xfId="12398" xr:uid="{3CD3B890-B075-4CF1-B7C3-7E5405F68608}"/>
    <cellStyle name="Normal 5 2 2 2 7 2 4" xfId="20846" xr:uid="{9F98F83F-5B8A-4D57-AC97-232E54D39734}"/>
    <cellStyle name="Normal 5 2 2 2 7 3" xfId="6021" xr:uid="{00000000-0005-0000-0000-00008F170000}"/>
    <cellStyle name="Normal 5 2 2 2 7 3 2" xfId="14471" xr:uid="{2244D3DD-0B54-4878-8DC6-57C880989EB3}"/>
    <cellStyle name="Normal 5 2 2 2 7 3 3" xfId="22918" xr:uid="{64486F75-AB55-4C1F-AE95-6ED88FBFCC06}"/>
    <cellStyle name="Normal 5 2 2 2 7 4" xfId="10253" xr:uid="{97B49F8F-5FBB-4108-A13C-29BF699B2E71}"/>
    <cellStyle name="Normal 5 2 2 2 7 5" xfId="18701" xr:uid="{B9E5F79A-28D1-4461-9ED5-E48A1AD6BE15}"/>
    <cellStyle name="Normal 5 2 2 2 8" xfId="2128" xr:uid="{00000000-0005-0000-0000-000090170000}"/>
    <cellStyle name="Normal 5 2 2 2 8 2" xfId="4357" xr:uid="{00000000-0005-0000-0000-000091170000}"/>
    <cellStyle name="Normal 5 2 2 2 8 2 2" xfId="8579" xr:uid="{00000000-0005-0000-0000-000092170000}"/>
    <cellStyle name="Normal 5 2 2 2 8 2 2 2" xfId="17029" xr:uid="{DAF1FFC2-CEE0-40C8-9F18-845BFBA093DC}"/>
    <cellStyle name="Normal 5 2 2 2 8 2 2 3" xfId="25476" xr:uid="{9B361056-C9E5-4E6B-868E-3A662B54EBB8}"/>
    <cellStyle name="Normal 5 2 2 2 8 2 3" xfId="12811" xr:uid="{CF9FE31A-F284-49DD-B67C-EFAFBAC870C9}"/>
    <cellStyle name="Normal 5 2 2 2 8 2 4" xfId="21259" xr:uid="{587EC39D-7763-4C39-8D8D-9F2691107BE8}"/>
    <cellStyle name="Normal 5 2 2 2 8 3" xfId="6434" xr:uid="{00000000-0005-0000-0000-000093170000}"/>
    <cellStyle name="Normal 5 2 2 2 8 3 2" xfId="14884" xr:uid="{9F9BD6C8-581F-4AF9-8DA4-A65704EAB014}"/>
    <cellStyle name="Normal 5 2 2 2 8 3 3" xfId="23331" xr:uid="{CC37EFDA-EBB2-4952-B082-9BD60FD48B4D}"/>
    <cellStyle name="Normal 5 2 2 2 8 4" xfId="10666" xr:uid="{D1F14CE6-6233-42DF-AE58-7E90683C8D63}"/>
    <cellStyle name="Normal 5 2 2 2 8 5" xfId="19114" xr:uid="{8B0AB711-304B-496B-9EBB-97F7608F4752}"/>
    <cellStyle name="Normal 5 2 2 2 9" xfId="2564" xr:uid="{00000000-0005-0000-0000-000094170000}"/>
    <cellStyle name="Normal 5 2 2 2 9 2" xfId="6847" xr:uid="{00000000-0005-0000-0000-000095170000}"/>
    <cellStyle name="Normal 5 2 2 2 9 2 2" xfId="15297" xr:uid="{49B59ADD-EDC3-4FAC-96BB-4277EA52E17A}"/>
    <cellStyle name="Normal 5 2 2 2 9 2 3" xfId="23744" xr:uid="{98EAA73A-5A71-483F-A2B2-B8683CE593DC}"/>
    <cellStyle name="Normal 5 2 2 2 9 3" xfId="11079" xr:uid="{0C4BD3B5-67CA-4584-BBEC-BF23B392551D}"/>
    <cellStyle name="Normal 5 2 2 2 9 4" xfId="19527" xr:uid="{C56E4F5E-BC07-46B6-A055-5DD40FBE036A}"/>
    <cellStyle name="Normal 5 2 2 3" xfId="417" xr:uid="{00000000-0005-0000-0000-000096170000}"/>
    <cellStyle name="Normal 5 2 2 3 10" xfId="9022" xr:uid="{ECF5F1DE-5A83-41EC-93C3-B63D0AC145E0}"/>
    <cellStyle name="Normal 5 2 2 3 11" xfId="17470" xr:uid="{1F413731-41B2-4EA1-831A-202B8F8818B6}"/>
    <cellStyle name="Normal 5 2 2 3 2" xfId="418" xr:uid="{00000000-0005-0000-0000-000097170000}"/>
    <cellStyle name="Normal 5 2 2 3 2 10" xfId="17471" xr:uid="{7E01AF51-79F7-4144-A785-5F07C3357AEB}"/>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2 2 2" xfId="15800" xr:uid="{65EF1217-325F-4AAA-9B7E-A975E7B7D285}"/>
    <cellStyle name="Normal 5 2 2 3 2 2 2 2 2 3" xfId="24247" xr:uid="{EF5B568B-3DF1-4FC1-875E-0EDA29B8423C}"/>
    <cellStyle name="Normal 5 2 2 3 2 2 2 2 3" xfId="11582" xr:uid="{69087D19-481F-49FD-8CCF-F3514B4791C2}"/>
    <cellStyle name="Normal 5 2 2 3 2 2 2 2 4" xfId="20030" xr:uid="{8A2D14D5-ABB9-4727-A840-2FD4BF00E28C}"/>
    <cellStyle name="Normal 5 2 2 3 2 2 2 3" xfId="5205" xr:uid="{00000000-0005-0000-0000-00009C170000}"/>
    <cellStyle name="Normal 5 2 2 3 2 2 2 3 2" xfId="13655" xr:uid="{AAC6B8EB-C981-47EB-A489-A6B8D976DCCF}"/>
    <cellStyle name="Normal 5 2 2 3 2 2 2 3 3" xfId="22102" xr:uid="{65ACAB91-6B41-4176-826F-30A958E161DB}"/>
    <cellStyle name="Normal 5 2 2 3 2 2 2 4" xfId="9437" xr:uid="{DF992E20-FA3F-41C2-A894-B733C334E5F6}"/>
    <cellStyle name="Normal 5 2 2 3 2 2 2 5" xfId="17885" xr:uid="{4F693766-4B93-47E1-BAE5-A8E8FB6CF178}"/>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2 2 2" xfId="16213" xr:uid="{CE7E63DD-95C5-47EC-8528-A9CD403D0775}"/>
    <cellStyle name="Normal 5 2 2 3 2 2 3 2 2 3" xfId="24660" xr:uid="{05E1BC04-0E19-4232-96D5-5B6A84A69837}"/>
    <cellStyle name="Normal 5 2 2 3 2 2 3 2 3" xfId="11995" xr:uid="{378E4067-052F-415B-8106-079118741D76}"/>
    <cellStyle name="Normal 5 2 2 3 2 2 3 2 4" xfId="20443" xr:uid="{EC9A4594-6D5A-4F3E-98FE-8F7F255494AB}"/>
    <cellStyle name="Normal 5 2 2 3 2 2 3 3" xfId="5618" xr:uid="{00000000-0005-0000-0000-0000A0170000}"/>
    <cellStyle name="Normal 5 2 2 3 2 2 3 3 2" xfId="14068" xr:uid="{7EDED0B1-A158-4B21-A897-3C8022E03AE6}"/>
    <cellStyle name="Normal 5 2 2 3 2 2 3 3 3" xfId="22515" xr:uid="{184022C9-6E6D-45BD-AA92-D2F9B76EBDBA}"/>
    <cellStyle name="Normal 5 2 2 3 2 2 3 4" xfId="9850" xr:uid="{9C445393-6147-4DEA-9D2D-416E9E9AC955}"/>
    <cellStyle name="Normal 5 2 2 3 2 2 3 5" xfId="18298" xr:uid="{E4603B0D-D43C-4B72-B82D-0BC4323E5087}"/>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2 2 2" xfId="16626" xr:uid="{C9AC232C-5149-4856-BCE1-B4E54A930128}"/>
    <cellStyle name="Normal 5 2 2 3 2 2 4 2 2 3" xfId="25073" xr:uid="{DDCE9A62-8769-464C-A4FB-63B14EB77962}"/>
    <cellStyle name="Normal 5 2 2 3 2 2 4 2 3" xfId="12408" xr:uid="{D1D0D560-E076-4F71-A635-428477FBE84A}"/>
    <cellStyle name="Normal 5 2 2 3 2 2 4 2 4" xfId="20856" xr:uid="{373763C4-C904-4B0B-B095-4851955FB1F0}"/>
    <cellStyle name="Normal 5 2 2 3 2 2 4 3" xfId="6031" xr:uid="{00000000-0005-0000-0000-0000A4170000}"/>
    <cellStyle name="Normal 5 2 2 3 2 2 4 3 2" xfId="14481" xr:uid="{756F4BAA-2C1F-46B8-BDA9-BEC2BE32C96E}"/>
    <cellStyle name="Normal 5 2 2 3 2 2 4 3 3" xfId="22928" xr:uid="{98407DBE-E4C4-44B9-8F1A-3F3EEB9C3D4F}"/>
    <cellStyle name="Normal 5 2 2 3 2 2 4 4" xfId="10263" xr:uid="{D27738FF-8CA8-4506-B520-17A8F9631EFF}"/>
    <cellStyle name="Normal 5 2 2 3 2 2 4 5" xfId="18711" xr:uid="{FBB436F8-E8FE-4C23-B0E0-74C87A41313A}"/>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2 2 2" xfId="17039" xr:uid="{8F3050BB-5CA0-424A-A0A0-4A84A775934D}"/>
    <cellStyle name="Normal 5 2 2 3 2 2 5 2 2 3" xfId="25486" xr:uid="{4F1F8548-D009-4FFA-953F-220029127799}"/>
    <cellStyle name="Normal 5 2 2 3 2 2 5 2 3" xfId="12821" xr:uid="{C97DAEE4-4819-436F-9FDA-B761BA784CE8}"/>
    <cellStyle name="Normal 5 2 2 3 2 2 5 2 4" xfId="21269" xr:uid="{3EC00344-BDC7-4A6E-8AF8-AC5545232108}"/>
    <cellStyle name="Normal 5 2 2 3 2 2 5 3" xfId="6444" xr:uid="{00000000-0005-0000-0000-0000A8170000}"/>
    <cellStyle name="Normal 5 2 2 3 2 2 5 3 2" xfId="14894" xr:uid="{4C228FFC-4D26-4DD6-8D4A-3040E3E1654F}"/>
    <cellStyle name="Normal 5 2 2 3 2 2 5 3 3" xfId="23341" xr:uid="{48CAE989-A8AD-4379-A9BF-2EF84CBAF9AB}"/>
    <cellStyle name="Normal 5 2 2 3 2 2 5 4" xfId="10676" xr:uid="{7081AE1E-628F-44AC-A6BA-BB8D3B397FEC}"/>
    <cellStyle name="Normal 5 2 2 3 2 2 5 5" xfId="19124" xr:uid="{F0F4687B-5A24-4A78-9B34-0393EC305ED4}"/>
    <cellStyle name="Normal 5 2 2 3 2 2 6" xfId="2574" xr:uid="{00000000-0005-0000-0000-0000A9170000}"/>
    <cellStyle name="Normal 5 2 2 3 2 2 6 2" xfId="6857" xr:uid="{00000000-0005-0000-0000-0000AA170000}"/>
    <cellStyle name="Normal 5 2 2 3 2 2 6 2 2" xfId="15307" xr:uid="{BA3BF3D9-819A-4332-B074-35005482CDF4}"/>
    <cellStyle name="Normal 5 2 2 3 2 2 6 2 3" xfId="23754" xr:uid="{58A9CA89-2C13-45C4-86FE-7C5595A8D5D6}"/>
    <cellStyle name="Normal 5 2 2 3 2 2 6 3" xfId="11089" xr:uid="{11D4FD72-32F4-49A3-8D61-A2235DD695B3}"/>
    <cellStyle name="Normal 5 2 2 3 2 2 6 4" xfId="19537" xr:uid="{41EA9BC6-7B16-44C9-A71F-92A566802EAF}"/>
    <cellStyle name="Normal 5 2 2 3 2 2 7" xfId="4792" xr:uid="{00000000-0005-0000-0000-0000AB170000}"/>
    <cellStyle name="Normal 5 2 2 3 2 2 7 2" xfId="13242" xr:uid="{0766AA92-BF0F-494B-A9F1-0DFBC30271E8}"/>
    <cellStyle name="Normal 5 2 2 3 2 2 7 3" xfId="21689" xr:uid="{9CE8F6C5-6D85-4CBB-8CC5-BB4E75CB1A8D}"/>
    <cellStyle name="Normal 5 2 2 3 2 2 8" xfId="9024" xr:uid="{1DB2A137-F2F8-4D71-A2C5-9232FD7DB46D}"/>
    <cellStyle name="Normal 5 2 2 3 2 2 9" xfId="17472" xr:uid="{757EA739-1AAC-4943-A40D-EA12B62CD432}"/>
    <cellStyle name="Normal 5 2 2 3 2 3" xfId="892" xr:uid="{00000000-0005-0000-0000-0000AC170000}"/>
    <cellStyle name="Normal 5 2 2 3 2 3 2" xfId="3127" xr:uid="{00000000-0005-0000-0000-0000AD170000}"/>
    <cellStyle name="Normal 5 2 2 3 2 3 2 2" xfId="7349" xr:uid="{00000000-0005-0000-0000-0000AE170000}"/>
    <cellStyle name="Normal 5 2 2 3 2 3 2 2 2" xfId="15799" xr:uid="{EEC9F142-9491-4413-9462-1573A067DE70}"/>
    <cellStyle name="Normal 5 2 2 3 2 3 2 2 3" xfId="24246" xr:uid="{4EAB950A-BC97-4004-A135-E5232BEE5F1E}"/>
    <cellStyle name="Normal 5 2 2 3 2 3 2 3" xfId="11581" xr:uid="{6936695A-07FF-4E11-977A-F1EA858B4A9E}"/>
    <cellStyle name="Normal 5 2 2 3 2 3 2 4" xfId="20029" xr:uid="{8FBFE831-148F-4EF9-8134-01409CDFD25F}"/>
    <cellStyle name="Normal 5 2 2 3 2 3 3" xfId="5204" xr:uid="{00000000-0005-0000-0000-0000AF170000}"/>
    <cellStyle name="Normal 5 2 2 3 2 3 3 2" xfId="13654" xr:uid="{15057531-71FC-4E62-BB03-97D0464BAECF}"/>
    <cellStyle name="Normal 5 2 2 3 2 3 3 3" xfId="22101" xr:uid="{CC6C9034-A17F-4D8F-B6F3-F8D0865D5AC5}"/>
    <cellStyle name="Normal 5 2 2 3 2 3 4" xfId="9436" xr:uid="{1B23BD6C-22AB-4496-9B79-CA5D966E2F0C}"/>
    <cellStyle name="Normal 5 2 2 3 2 3 5" xfId="17884" xr:uid="{6489DA56-96E1-45A5-8DB8-D58239CB4BC9}"/>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2 2 2" xfId="16212" xr:uid="{A5D60ADA-6623-4704-86EA-B32216EE99C2}"/>
    <cellStyle name="Normal 5 2 2 3 2 4 2 2 3" xfId="24659" xr:uid="{92B4E7CA-5599-44E1-85B9-BC7660631EA9}"/>
    <cellStyle name="Normal 5 2 2 3 2 4 2 3" xfId="11994" xr:uid="{3E0A040E-E8A5-4794-953C-285603F510E5}"/>
    <cellStyle name="Normal 5 2 2 3 2 4 2 4" xfId="20442" xr:uid="{43DFB620-516E-4CFA-9E6A-508A9FBAC310}"/>
    <cellStyle name="Normal 5 2 2 3 2 4 3" xfId="5617" xr:uid="{00000000-0005-0000-0000-0000B3170000}"/>
    <cellStyle name="Normal 5 2 2 3 2 4 3 2" xfId="14067" xr:uid="{0EE06FF7-7AD3-4570-BA8B-D4E39FC42A2E}"/>
    <cellStyle name="Normal 5 2 2 3 2 4 3 3" xfId="22514" xr:uid="{14BBD240-3293-44BD-9B67-17AD494DB9C9}"/>
    <cellStyle name="Normal 5 2 2 3 2 4 4" xfId="9849" xr:uid="{D1DEEC67-B46A-4E53-A604-246F9F1699B2}"/>
    <cellStyle name="Normal 5 2 2 3 2 4 5" xfId="18297" xr:uid="{F65958C2-4829-4951-BF42-A94B2B8B22E2}"/>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2 2 2" xfId="16625" xr:uid="{F01347BF-A7F8-4845-9014-BB40E320B69B}"/>
    <cellStyle name="Normal 5 2 2 3 2 5 2 2 3" xfId="25072" xr:uid="{DE49AFC5-8EE4-4720-8CDD-0C64AA21E5A1}"/>
    <cellStyle name="Normal 5 2 2 3 2 5 2 3" xfId="12407" xr:uid="{88BFD6C9-853A-4B82-A070-552FC8A3B2E1}"/>
    <cellStyle name="Normal 5 2 2 3 2 5 2 4" xfId="20855" xr:uid="{FB1A7C3D-455E-440B-AB7C-753A5B104E37}"/>
    <cellStyle name="Normal 5 2 2 3 2 5 3" xfId="6030" xr:uid="{00000000-0005-0000-0000-0000B7170000}"/>
    <cellStyle name="Normal 5 2 2 3 2 5 3 2" xfId="14480" xr:uid="{EAF025E1-1BD6-4DD4-B45E-81493767EDAD}"/>
    <cellStyle name="Normal 5 2 2 3 2 5 3 3" xfId="22927" xr:uid="{B61A9E0A-0287-4AD2-87D1-04EE078AE7AD}"/>
    <cellStyle name="Normal 5 2 2 3 2 5 4" xfId="10262" xr:uid="{B35646DC-8790-4046-AFD6-58CC6A8399AE}"/>
    <cellStyle name="Normal 5 2 2 3 2 5 5" xfId="18710" xr:uid="{6EFDFBD8-A4DA-4503-91AB-09992D4834D3}"/>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2 2 2" xfId="17038" xr:uid="{6892382C-6652-478D-A1F5-08BC9B0A2249}"/>
    <cellStyle name="Normal 5 2 2 3 2 6 2 2 3" xfId="25485" xr:uid="{9071F24F-891D-49C3-BC30-D7747B57C954}"/>
    <cellStyle name="Normal 5 2 2 3 2 6 2 3" xfId="12820" xr:uid="{6F8433CD-BBD1-4E29-9B6E-8A9CFA21C6C9}"/>
    <cellStyle name="Normal 5 2 2 3 2 6 2 4" xfId="21268" xr:uid="{E8EDF748-2D0F-439D-8970-226A5F236BFE}"/>
    <cellStyle name="Normal 5 2 2 3 2 6 3" xfId="6443" xr:uid="{00000000-0005-0000-0000-0000BB170000}"/>
    <cellStyle name="Normal 5 2 2 3 2 6 3 2" xfId="14893" xr:uid="{9EBB526F-6A84-4F9E-868F-FBB84B1B434E}"/>
    <cellStyle name="Normal 5 2 2 3 2 6 3 3" xfId="23340" xr:uid="{BB5137DD-13EF-4318-94FD-F9A8E1883728}"/>
    <cellStyle name="Normal 5 2 2 3 2 6 4" xfId="10675" xr:uid="{A7214486-FEDF-4591-A42D-6FB49FB68BD7}"/>
    <cellStyle name="Normal 5 2 2 3 2 6 5" xfId="19123" xr:uid="{9EF737F7-B929-454D-9D9E-F325D9BC58A6}"/>
    <cellStyle name="Normal 5 2 2 3 2 7" xfId="2573" xr:uid="{00000000-0005-0000-0000-0000BC170000}"/>
    <cellStyle name="Normal 5 2 2 3 2 7 2" xfId="6856" xr:uid="{00000000-0005-0000-0000-0000BD170000}"/>
    <cellStyle name="Normal 5 2 2 3 2 7 2 2" xfId="15306" xr:uid="{6480192B-0B74-43DC-9D35-8E605ACFF6C0}"/>
    <cellStyle name="Normal 5 2 2 3 2 7 2 3" xfId="23753" xr:uid="{62EE6734-34A1-4F40-9348-1564D64CA886}"/>
    <cellStyle name="Normal 5 2 2 3 2 7 3" xfId="11088" xr:uid="{D36E0972-6EE3-4663-80AB-35388953D062}"/>
    <cellStyle name="Normal 5 2 2 3 2 7 4" xfId="19536" xr:uid="{EFEE3FEF-9843-4950-9249-67DBB581AD30}"/>
    <cellStyle name="Normal 5 2 2 3 2 8" xfId="4791" xr:uid="{00000000-0005-0000-0000-0000BE170000}"/>
    <cellStyle name="Normal 5 2 2 3 2 8 2" xfId="13241" xr:uid="{A2C38C72-0B0B-49A0-AA32-F41DAD77B6B0}"/>
    <cellStyle name="Normal 5 2 2 3 2 8 3" xfId="21688" xr:uid="{4DA575F1-CB2D-4B56-BB77-82AE264036A9}"/>
    <cellStyle name="Normal 5 2 2 3 2 9" xfId="9023" xr:uid="{0E62FB8B-AC6A-48B3-81B1-CA1B99D45A9C}"/>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2 2 2" xfId="15801" xr:uid="{5DDE93A7-D18B-4D8A-A13A-2AD205E590C6}"/>
    <cellStyle name="Normal 5 2 2 3 3 2 2 2 3" xfId="24248" xr:uid="{539363ED-A38A-413A-A4D0-B26ED2534E9F}"/>
    <cellStyle name="Normal 5 2 2 3 3 2 2 3" xfId="11583" xr:uid="{139544DE-50F2-4490-A559-4A62DC7ABBE3}"/>
    <cellStyle name="Normal 5 2 2 3 3 2 2 4" xfId="20031" xr:uid="{3E96AFF1-C684-417E-89E3-E2200536E767}"/>
    <cellStyle name="Normal 5 2 2 3 3 2 3" xfId="5206" xr:uid="{00000000-0005-0000-0000-0000C3170000}"/>
    <cellStyle name="Normal 5 2 2 3 3 2 3 2" xfId="13656" xr:uid="{BADA90E4-4044-4910-8324-4A3182ABDE59}"/>
    <cellStyle name="Normal 5 2 2 3 3 2 3 3" xfId="22103" xr:uid="{A07A814D-F108-480B-8DD0-4948B96CA4A9}"/>
    <cellStyle name="Normal 5 2 2 3 3 2 4" xfId="9438" xr:uid="{8F9B4C81-74AC-48A4-99A9-DEC1678F4CCC}"/>
    <cellStyle name="Normal 5 2 2 3 3 2 5" xfId="17886" xr:uid="{5AB5E022-B907-4B39-B460-5CB1B271F9BD}"/>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2 2 2" xfId="16214" xr:uid="{7187E43B-6FC7-41BE-B170-7D6B01EC0DE5}"/>
    <cellStyle name="Normal 5 2 2 3 3 3 2 2 3" xfId="24661" xr:uid="{0579EB6C-C573-49F4-A94D-D1EBF9587305}"/>
    <cellStyle name="Normal 5 2 2 3 3 3 2 3" xfId="11996" xr:uid="{2493E67C-1761-4BA3-84B9-C70AF64E2EFF}"/>
    <cellStyle name="Normal 5 2 2 3 3 3 2 4" xfId="20444" xr:uid="{127E00FC-9F98-4CDE-BE1A-7B80073AD8F8}"/>
    <cellStyle name="Normal 5 2 2 3 3 3 3" xfId="5619" xr:uid="{00000000-0005-0000-0000-0000C7170000}"/>
    <cellStyle name="Normal 5 2 2 3 3 3 3 2" xfId="14069" xr:uid="{A32C02A1-CA39-4A55-A181-03C93EB43FBB}"/>
    <cellStyle name="Normal 5 2 2 3 3 3 3 3" xfId="22516" xr:uid="{877FC9BC-5B81-4FB3-AFD9-8EA2942732A9}"/>
    <cellStyle name="Normal 5 2 2 3 3 3 4" xfId="9851" xr:uid="{ECACA5C4-2914-4703-86B6-41FE10E96295}"/>
    <cellStyle name="Normal 5 2 2 3 3 3 5" xfId="18299" xr:uid="{832FFC89-7163-44D0-9EF9-7AA7C48760D3}"/>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2 2 2" xfId="16627" xr:uid="{8624D345-D14A-470D-9626-511C5B046DFD}"/>
    <cellStyle name="Normal 5 2 2 3 3 4 2 2 3" xfId="25074" xr:uid="{7F0FC8FA-0F60-45C9-B412-1338B8C37700}"/>
    <cellStyle name="Normal 5 2 2 3 3 4 2 3" xfId="12409" xr:uid="{5427E354-14E1-4085-9C18-4804B8DE3F1E}"/>
    <cellStyle name="Normal 5 2 2 3 3 4 2 4" xfId="20857" xr:uid="{F6E162FF-2DC6-48E2-BB1C-E3D9F08271CC}"/>
    <cellStyle name="Normal 5 2 2 3 3 4 3" xfId="6032" xr:uid="{00000000-0005-0000-0000-0000CB170000}"/>
    <cellStyle name="Normal 5 2 2 3 3 4 3 2" xfId="14482" xr:uid="{9F77B4EF-F855-4141-8983-4118F46F858E}"/>
    <cellStyle name="Normal 5 2 2 3 3 4 3 3" xfId="22929" xr:uid="{826F262A-5144-4809-96FA-14EDB27A2505}"/>
    <cellStyle name="Normal 5 2 2 3 3 4 4" xfId="10264" xr:uid="{595A975F-E312-403F-8A42-92D6A554472E}"/>
    <cellStyle name="Normal 5 2 2 3 3 4 5" xfId="18712" xr:uid="{D9934C29-B470-47EA-B0AE-599C5F67FF5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2 2 2" xfId="17040" xr:uid="{31B902D1-3E30-4686-AD69-A61441314784}"/>
    <cellStyle name="Normal 5 2 2 3 3 5 2 2 3" xfId="25487" xr:uid="{69362C97-028A-4FD9-B720-782ED8A27B1C}"/>
    <cellStyle name="Normal 5 2 2 3 3 5 2 3" xfId="12822" xr:uid="{B3B68AE0-66DD-4085-97BC-82260D716BFE}"/>
    <cellStyle name="Normal 5 2 2 3 3 5 2 4" xfId="21270" xr:uid="{A25B1139-60A2-456A-B6BE-A5EAEBA6DE0A}"/>
    <cellStyle name="Normal 5 2 2 3 3 5 3" xfId="6445" xr:uid="{00000000-0005-0000-0000-0000CF170000}"/>
    <cellStyle name="Normal 5 2 2 3 3 5 3 2" xfId="14895" xr:uid="{25A24C3D-A775-4EF1-B2DF-B96528C61B0C}"/>
    <cellStyle name="Normal 5 2 2 3 3 5 3 3" xfId="23342" xr:uid="{B9AC9182-C4DB-4600-9317-547620C03BBD}"/>
    <cellStyle name="Normal 5 2 2 3 3 5 4" xfId="10677" xr:uid="{2264B5C8-6B82-4D3E-AC21-387CA48C32D3}"/>
    <cellStyle name="Normal 5 2 2 3 3 5 5" xfId="19125" xr:uid="{1B9721C0-F724-4CF9-AC0E-BEE5B806D6DA}"/>
    <cellStyle name="Normal 5 2 2 3 3 6" xfId="2575" xr:uid="{00000000-0005-0000-0000-0000D0170000}"/>
    <cellStyle name="Normal 5 2 2 3 3 6 2" xfId="6858" xr:uid="{00000000-0005-0000-0000-0000D1170000}"/>
    <cellStyle name="Normal 5 2 2 3 3 6 2 2" xfId="15308" xr:uid="{9D4767D2-D466-4DA2-ACD7-2F8C0E5E3A13}"/>
    <cellStyle name="Normal 5 2 2 3 3 6 2 3" xfId="23755" xr:uid="{FB013005-2833-43C1-9C87-8253F05AC95C}"/>
    <cellStyle name="Normal 5 2 2 3 3 6 3" xfId="11090" xr:uid="{6384157D-6865-4579-8A27-F15B35D38EED}"/>
    <cellStyle name="Normal 5 2 2 3 3 6 4" xfId="19538" xr:uid="{AB2640FB-C0A9-48DB-BBDA-A8BF90BDFD89}"/>
    <cellStyle name="Normal 5 2 2 3 3 7" xfId="4793" xr:uid="{00000000-0005-0000-0000-0000D2170000}"/>
    <cellStyle name="Normal 5 2 2 3 3 7 2" xfId="13243" xr:uid="{25414734-4EE1-43F5-941F-64A0881B1A9C}"/>
    <cellStyle name="Normal 5 2 2 3 3 7 3" xfId="21690" xr:uid="{3B25448E-ADC6-4D14-8A21-F7C0A52F86D1}"/>
    <cellStyle name="Normal 5 2 2 3 3 8" xfId="9025" xr:uid="{0425B7F4-8842-4291-BA64-C42AEFEA14E4}"/>
    <cellStyle name="Normal 5 2 2 3 3 9" xfId="17473" xr:uid="{6DD725BC-60A2-47BA-BA2A-96AB017BC187}"/>
    <cellStyle name="Normal 5 2 2 3 4" xfId="891" xr:uid="{00000000-0005-0000-0000-0000D3170000}"/>
    <cellStyle name="Normal 5 2 2 3 4 2" xfId="3126" xr:uid="{00000000-0005-0000-0000-0000D4170000}"/>
    <cellStyle name="Normal 5 2 2 3 4 2 2" xfId="7348" xr:uid="{00000000-0005-0000-0000-0000D5170000}"/>
    <cellStyle name="Normal 5 2 2 3 4 2 2 2" xfId="15798" xr:uid="{08D5BCEE-D43C-440E-A149-4A0865CCB1A2}"/>
    <cellStyle name="Normal 5 2 2 3 4 2 2 3" xfId="24245" xr:uid="{AF30D5DF-3D15-406C-AA8E-32F919C9A6B9}"/>
    <cellStyle name="Normal 5 2 2 3 4 2 3" xfId="11580" xr:uid="{986DF0DA-ED54-49AA-8955-20BE533078A7}"/>
    <cellStyle name="Normal 5 2 2 3 4 2 4" xfId="20028" xr:uid="{80F1A01C-4470-472C-A016-FCD2590B0C0E}"/>
    <cellStyle name="Normal 5 2 2 3 4 3" xfId="5203" xr:uid="{00000000-0005-0000-0000-0000D6170000}"/>
    <cellStyle name="Normal 5 2 2 3 4 3 2" xfId="13653" xr:uid="{31E1EF97-9EE6-48A0-A153-39029D241699}"/>
    <cellStyle name="Normal 5 2 2 3 4 3 3" xfId="22100" xr:uid="{967DD8AB-4895-4B94-ADA2-719E46A810C0}"/>
    <cellStyle name="Normal 5 2 2 3 4 4" xfId="9435" xr:uid="{F84887FC-AE31-45A8-943F-F359A760886F}"/>
    <cellStyle name="Normal 5 2 2 3 4 5" xfId="17883" xr:uid="{7B008A36-E70E-467E-972D-01196D167319}"/>
    <cellStyle name="Normal 5 2 2 3 5" xfId="1309" xr:uid="{00000000-0005-0000-0000-0000D7170000}"/>
    <cellStyle name="Normal 5 2 2 3 5 2" xfId="3539" xr:uid="{00000000-0005-0000-0000-0000D8170000}"/>
    <cellStyle name="Normal 5 2 2 3 5 2 2" xfId="7761" xr:uid="{00000000-0005-0000-0000-0000D9170000}"/>
    <cellStyle name="Normal 5 2 2 3 5 2 2 2" xfId="16211" xr:uid="{5A3F6BCD-BA77-4445-8293-11164E80ABD0}"/>
    <cellStyle name="Normal 5 2 2 3 5 2 2 3" xfId="24658" xr:uid="{3E6E6BA6-237B-437F-A0A4-15D6CA874B7F}"/>
    <cellStyle name="Normal 5 2 2 3 5 2 3" xfId="11993" xr:uid="{206B5CEE-6E83-42F6-9D67-DC3C4F79AF8B}"/>
    <cellStyle name="Normal 5 2 2 3 5 2 4" xfId="20441" xr:uid="{CC5CDC07-C5FF-42ED-9216-AE08427F264C}"/>
    <cellStyle name="Normal 5 2 2 3 5 3" xfId="5616" xr:uid="{00000000-0005-0000-0000-0000DA170000}"/>
    <cellStyle name="Normal 5 2 2 3 5 3 2" xfId="14066" xr:uid="{87D7BEFF-FF64-433E-8168-28B7B1A5A3A7}"/>
    <cellStyle name="Normal 5 2 2 3 5 3 3" xfId="22513" xr:uid="{413CE309-6768-4272-85C8-6A1505EC8DE7}"/>
    <cellStyle name="Normal 5 2 2 3 5 4" xfId="9848" xr:uid="{5A295942-A62C-41CE-A5DB-7178CDFFC3E9}"/>
    <cellStyle name="Normal 5 2 2 3 5 5" xfId="18296" xr:uid="{C53448D0-322A-4AAC-8EFE-31D6C822BCB8}"/>
    <cellStyle name="Normal 5 2 2 3 6" xfId="1722" xr:uid="{00000000-0005-0000-0000-0000DB170000}"/>
    <cellStyle name="Normal 5 2 2 3 6 2" xfId="3952" xr:uid="{00000000-0005-0000-0000-0000DC170000}"/>
    <cellStyle name="Normal 5 2 2 3 6 2 2" xfId="8174" xr:uid="{00000000-0005-0000-0000-0000DD170000}"/>
    <cellStyle name="Normal 5 2 2 3 6 2 2 2" xfId="16624" xr:uid="{6F595629-C22F-4CF0-B18B-E3532E292EE7}"/>
    <cellStyle name="Normal 5 2 2 3 6 2 2 3" xfId="25071" xr:uid="{E16B2E81-C52A-41AD-830C-CA2C49930F71}"/>
    <cellStyle name="Normal 5 2 2 3 6 2 3" xfId="12406" xr:uid="{606C4AC7-1AFE-422B-88DB-55787202CDF7}"/>
    <cellStyle name="Normal 5 2 2 3 6 2 4" xfId="20854" xr:uid="{5787E664-E223-4907-B472-D2E9EFDF750F}"/>
    <cellStyle name="Normal 5 2 2 3 6 3" xfId="6029" xr:uid="{00000000-0005-0000-0000-0000DE170000}"/>
    <cellStyle name="Normal 5 2 2 3 6 3 2" xfId="14479" xr:uid="{C381041C-02BD-4BCF-8A04-59AAA0D49151}"/>
    <cellStyle name="Normal 5 2 2 3 6 3 3" xfId="22926" xr:uid="{10D7536E-352D-408B-B2B0-0E8A49166A4C}"/>
    <cellStyle name="Normal 5 2 2 3 6 4" xfId="10261" xr:uid="{0C654EFC-F3D4-4C3A-B232-EA6DF2EBFCD6}"/>
    <cellStyle name="Normal 5 2 2 3 6 5" xfId="18709" xr:uid="{6E986980-77BB-47EF-8C3B-1263E7505BED}"/>
    <cellStyle name="Normal 5 2 2 3 7" xfId="2136" xr:uid="{00000000-0005-0000-0000-0000DF170000}"/>
    <cellStyle name="Normal 5 2 2 3 7 2" xfId="4365" xr:uid="{00000000-0005-0000-0000-0000E0170000}"/>
    <cellStyle name="Normal 5 2 2 3 7 2 2" xfId="8587" xr:uid="{00000000-0005-0000-0000-0000E1170000}"/>
    <cellStyle name="Normal 5 2 2 3 7 2 2 2" xfId="17037" xr:uid="{9ECE1D21-D1AA-4DD6-89A0-37B577EF9350}"/>
    <cellStyle name="Normal 5 2 2 3 7 2 2 3" xfId="25484" xr:uid="{51EA8454-330C-44BB-9F8E-8AD320E8C6B7}"/>
    <cellStyle name="Normal 5 2 2 3 7 2 3" xfId="12819" xr:uid="{61977D5F-A55B-49F5-93F5-EEED7EB7518B}"/>
    <cellStyle name="Normal 5 2 2 3 7 2 4" xfId="21267" xr:uid="{1CB45765-BF4F-4C1C-9468-5BDE909F3D99}"/>
    <cellStyle name="Normal 5 2 2 3 7 3" xfId="6442" xr:uid="{00000000-0005-0000-0000-0000E2170000}"/>
    <cellStyle name="Normal 5 2 2 3 7 3 2" xfId="14892" xr:uid="{DEB261A5-F00B-41E8-AA8B-D03F77A8DA53}"/>
    <cellStyle name="Normal 5 2 2 3 7 3 3" xfId="23339" xr:uid="{04D4F060-19FA-4221-98C2-7643EA2A4C3E}"/>
    <cellStyle name="Normal 5 2 2 3 7 4" xfId="10674" xr:uid="{1558BEA1-2057-4251-8D0D-F4193DC4E6D2}"/>
    <cellStyle name="Normal 5 2 2 3 7 5" xfId="19122" xr:uid="{6BEE722C-6C98-45C9-AAB9-92F1E08812C7}"/>
    <cellStyle name="Normal 5 2 2 3 8" xfId="2572" xr:uid="{00000000-0005-0000-0000-0000E3170000}"/>
    <cellStyle name="Normal 5 2 2 3 8 2" xfId="6855" xr:uid="{00000000-0005-0000-0000-0000E4170000}"/>
    <cellStyle name="Normal 5 2 2 3 8 2 2" xfId="15305" xr:uid="{D094877A-F9C8-4375-919F-2D370FB72A94}"/>
    <cellStyle name="Normal 5 2 2 3 8 2 3" xfId="23752" xr:uid="{78BA51D8-A7AD-47B8-AE0D-2F51D7E97ABE}"/>
    <cellStyle name="Normal 5 2 2 3 8 3" xfId="11087" xr:uid="{A1690535-93D5-4695-A244-AC419FB1C406}"/>
    <cellStyle name="Normal 5 2 2 3 8 4" xfId="19535" xr:uid="{A7217DAD-32A2-48AD-8842-18B081578F8C}"/>
    <cellStyle name="Normal 5 2 2 3 9" xfId="4790" xr:uid="{00000000-0005-0000-0000-0000E5170000}"/>
    <cellStyle name="Normal 5 2 2 3 9 2" xfId="13240" xr:uid="{4EE3E333-CD96-4D23-AC5B-C548FB4C8013}"/>
    <cellStyle name="Normal 5 2 2 3 9 3" xfId="21687" xr:uid="{F561B93D-6661-4535-A670-5BCB7695A3B5}"/>
    <cellStyle name="Normal 5 2 2 4" xfId="421" xr:uid="{00000000-0005-0000-0000-0000E6170000}"/>
    <cellStyle name="Normal 5 2 2 4 10" xfId="17474" xr:uid="{482C30D3-EF0F-4F73-AF36-FB9476CF3E4F}"/>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2 2 2" xfId="15803" xr:uid="{B61FEDBB-C65B-4109-BC17-A9572A63EC10}"/>
    <cellStyle name="Normal 5 2 2 4 2 2 2 2 3" xfId="24250" xr:uid="{271D08FD-4B5B-4EDA-AD0D-9BB3D88FF872}"/>
    <cellStyle name="Normal 5 2 2 4 2 2 2 3" xfId="11585" xr:uid="{DACC76EB-3A3B-4A34-989B-B4FA69B2AA6C}"/>
    <cellStyle name="Normal 5 2 2 4 2 2 2 4" xfId="20033" xr:uid="{902C1690-A700-4E3D-95D1-A0CE4752CCB4}"/>
    <cellStyle name="Normal 5 2 2 4 2 2 3" xfId="5208" xr:uid="{00000000-0005-0000-0000-0000EB170000}"/>
    <cellStyle name="Normal 5 2 2 4 2 2 3 2" xfId="13658" xr:uid="{66C07935-BC08-4006-B1C9-8C4BE855CD7E}"/>
    <cellStyle name="Normal 5 2 2 4 2 2 3 3" xfId="22105" xr:uid="{619F4302-17EA-40EC-BC94-0CB6B86BD16F}"/>
    <cellStyle name="Normal 5 2 2 4 2 2 4" xfId="9440" xr:uid="{37E8C17A-E54C-41F8-80CF-208A0F344472}"/>
    <cellStyle name="Normal 5 2 2 4 2 2 5" xfId="17888" xr:uid="{DF098EF2-7AE4-422F-9087-67863AB9E87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2 2 2" xfId="16216" xr:uid="{9D717A90-A5FA-489E-BFA7-38A5F4298E62}"/>
    <cellStyle name="Normal 5 2 2 4 2 3 2 2 3" xfId="24663" xr:uid="{13ED7B46-B4E7-48A2-9AB4-DBF8C658D3A8}"/>
    <cellStyle name="Normal 5 2 2 4 2 3 2 3" xfId="11998" xr:uid="{4D613256-40DA-48A8-9F3B-A50FB3BBBACF}"/>
    <cellStyle name="Normal 5 2 2 4 2 3 2 4" xfId="20446" xr:uid="{E5E9F782-81D8-48AB-B67F-B4C42AB896F6}"/>
    <cellStyle name="Normal 5 2 2 4 2 3 3" xfId="5621" xr:uid="{00000000-0005-0000-0000-0000EF170000}"/>
    <cellStyle name="Normal 5 2 2 4 2 3 3 2" xfId="14071" xr:uid="{30138F61-F5C1-4098-93CD-54A20C6488A8}"/>
    <cellStyle name="Normal 5 2 2 4 2 3 3 3" xfId="22518" xr:uid="{4623E3E5-3634-4DE4-9BCD-912D190D3B24}"/>
    <cellStyle name="Normal 5 2 2 4 2 3 4" xfId="9853" xr:uid="{386D8000-160C-49CC-B720-58C9B2C74E5C}"/>
    <cellStyle name="Normal 5 2 2 4 2 3 5" xfId="18301" xr:uid="{CF7B234C-45EC-4F68-BA1B-210D878D7B87}"/>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2 2 2" xfId="16629" xr:uid="{83FEEB26-3404-45CF-9074-5645989F7C3B}"/>
    <cellStyle name="Normal 5 2 2 4 2 4 2 2 3" xfId="25076" xr:uid="{6E73B45D-C5BF-40B9-9377-0456CC83FF72}"/>
    <cellStyle name="Normal 5 2 2 4 2 4 2 3" xfId="12411" xr:uid="{B7077D46-1F1A-4989-AF0D-D1726F66C9FA}"/>
    <cellStyle name="Normal 5 2 2 4 2 4 2 4" xfId="20859" xr:uid="{D28F57EF-7B72-4664-B1EF-A0AF72E3823F}"/>
    <cellStyle name="Normal 5 2 2 4 2 4 3" xfId="6034" xr:uid="{00000000-0005-0000-0000-0000F3170000}"/>
    <cellStyle name="Normal 5 2 2 4 2 4 3 2" xfId="14484" xr:uid="{ADA6816B-BFF7-4415-97D2-60715DFDC2F4}"/>
    <cellStyle name="Normal 5 2 2 4 2 4 3 3" xfId="22931" xr:uid="{CD51483A-D6BC-4239-8979-F2FD113670D8}"/>
    <cellStyle name="Normal 5 2 2 4 2 4 4" xfId="10266" xr:uid="{A9534311-B88D-424D-B095-BD920E62874E}"/>
    <cellStyle name="Normal 5 2 2 4 2 4 5" xfId="18714" xr:uid="{A18D5756-A099-493C-A50E-CDA583C3B448}"/>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2 2 2" xfId="17042" xr:uid="{BCA30E9C-CD4C-437D-8217-5157A2CB439E}"/>
    <cellStyle name="Normal 5 2 2 4 2 5 2 2 3" xfId="25489" xr:uid="{0D0C0A99-6B49-4C6E-8D94-5F6D4798A441}"/>
    <cellStyle name="Normal 5 2 2 4 2 5 2 3" xfId="12824" xr:uid="{8B2E08B8-F337-4FF1-819C-9677BEDFB4DF}"/>
    <cellStyle name="Normal 5 2 2 4 2 5 2 4" xfId="21272" xr:uid="{446330E5-78E4-4A5F-B9FE-785C6989A4F3}"/>
    <cellStyle name="Normal 5 2 2 4 2 5 3" xfId="6447" xr:uid="{00000000-0005-0000-0000-0000F7170000}"/>
    <cellStyle name="Normal 5 2 2 4 2 5 3 2" xfId="14897" xr:uid="{FC5ED058-27DC-4483-B33A-80DFA090629F}"/>
    <cellStyle name="Normal 5 2 2 4 2 5 3 3" xfId="23344" xr:uid="{2D6C5D8F-9735-4846-88ED-49EFDE8A6B4D}"/>
    <cellStyle name="Normal 5 2 2 4 2 5 4" xfId="10679" xr:uid="{AACED419-A869-48DC-BE71-97B197A71801}"/>
    <cellStyle name="Normal 5 2 2 4 2 5 5" xfId="19127" xr:uid="{F2CE5AAC-52AD-46FE-A32D-2AD441D1B0FD}"/>
    <cellStyle name="Normal 5 2 2 4 2 6" xfId="2577" xr:uid="{00000000-0005-0000-0000-0000F8170000}"/>
    <cellStyle name="Normal 5 2 2 4 2 6 2" xfId="6860" xr:uid="{00000000-0005-0000-0000-0000F9170000}"/>
    <cellStyle name="Normal 5 2 2 4 2 6 2 2" xfId="15310" xr:uid="{AA6D8B04-8514-47F5-BA7F-3FC065C4BB1B}"/>
    <cellStyle name="Normal 5 2 2 4 2 6 2 3" xfId="23757" xr:uid="{15C1B9CC-3BFC-4756-9A07-BA14DAE369E0}"/>
    <cellStyle name="Normal 5 2 2 4 2 6 3" xfId="11092" xr:uid="{63DC3E7D-2196-4FE3-98E9-80E70747EE3E}"/>
    <cellStyle name="Normal 5 2 2 4 2 6 4" xfId="19540" xr:uid="{B83C5408-EDFC-4A1E-8EE0-E389CE759944}"/>
    <cellStyle name="Normal 5 2 2 4 2 7" xfId="4795" xr:uid="{00000000-0005-0000-0000-0000FA170000}"/>
    <cellStyle name="Normal 5 2 2 4 2 7 2" xfId="13245" xr:uid="{651F7F84-1F45-4EA0-A055-B716E9F1A254}"/>
    <cellStyle name="Normal 5 2 2 4 2 7 3" xfId="21692" xr:uid="{5E3964DC-E525-4231-BBA1-A4EADD4FE9EC}"/>
    <cellStyle name="Normal 5 2 2 4 2 8" xfId="9027" xr:uid="{E09D55F7-1CE8-4EEE-8B3D-BE0CF7D24C34}"/>
    <cellStyle name="Normal 5 2 2 4 2 9" xfId="17475" xr:uid="{AF6C094A-1A9C-411A-B8C9-E4097E313EF5}"/>
    <cellStyle name="Normal 5 2 2 4 3" xfId="895" xr:uid="{00000000-0005-0000-0000-0000FB170000}"/>
    <cellStyle name="Normal 5 2 2 4 3 2" xfId="3130" xr:uid="{00000000-0005-0000-0000-0000FC170000}"/>
    <cellStyle name="Normal 5 2 2 4 3 2 2" xfId="7352" xr:uid="{00000000-0005-0000-0000-0000FD170000}"/>
    <cellStyle name="Normal 5 2 2 4 3 2 2 2" xfId="15802" xr:uid="{60FC5C8A-91DD-4E88-A0B3-0D272188FF2A}"/>
    <cellStyle name="Normal 5 2 2 4 3 2 2 3" xfId="24249" xr:uid="{0AF8AB82-E057-481B-8BB6-5BFD515C4DD2}"/>
    <cellStyle name="Normal 5 2 2 4 3 2 3" xfId="11584" xr:uid="{39BA49E5-E460-4CF6-B2C5-46213E09D786}"/>
    <cellStyle name="Normal 5 2 2 4 3 2 4" xfId="20032" xr:uid="{B7DBB152-EE36-40CC-B45C-9602452B3B75}"/>
    <cellStyle name="Normal 5 2 2 4 3 3" xfId="5207" xr:uid="{00000000-0005-0000-0000-0000FE170000}"/>
    <cellStyle name="Normal 5 2 2 4 3 3 2" xfId="13657" xr:uid="{99A1ACAD-A9E2-44B8-A995-FBFC42A3785F}"/>
    <cellStyle name="Normal 5 2 2 4 3 3 3" xfId="22104" xr:uid="{3FE4E464-CABB-4732-A50F-57C5B20C67AC}"/>
    <cellStyle name="Normal 5 2 2 4 3 4" xfId="9439" xr:uid="{ADE284C7-8AC4-4C5E-B367-6343894D8253}"/>
    <cellStyle name="Normal 5 2 2 4 3 5" xfId="17887" xr:uid="{85A044C2-A50D-4C37-8EBD-F4EB1CB49C21}"/>
    <cellStyle name="Normal 5 2 2 4 4" xfId="1313" xr:uid="{00000000-0005-0000-0000-0000FF170000}"/>
    <cellStyle name="Normal 5 2 2 4 4 2" xfId="3543" xr:uid="{00000000-0005-0000-0000-000000180000}"/>
    <cellStyle name="Normal 5 2 2 4 4 2 2" xfId="7765" xr:uid="{00000000-0005-0000-0000-000001180000}"/>
    <cellStyle name="Normal 5 2 2 4 4 2 2 2" xfId="16215" xr:uid="{601B3F11-16DB-42D6-8320-C119ABFAA9A6}"/>
    <cellStyle name="Normal 5 2 2 4 4 2 2 3" xfId="24662" xr:uid="{3A046EEC-7988-4CD9-8ADF-7056C0AA5F86}"/>
    <cellStyle name="Normal 5 2 2 4 4 2 3" xfId="11997" xr:uid="{9C34A20A-833D-41EE-845C-9E939227C0C9}"/>
    <cellStyle name="Normal 5 2 2 4 4 2 4" xfId="20445" xr:uid="{5CF78DF3-28F8-4EE5-A2A1-1CA6276C7C0F}"/>
    <cellStyle name="Normal 5 2 2 4 4 3" xfId="5620" xr:uid="{00000000-0005-0000-0000-000002180000}"/>
    <cellStyle name="Normal 5 2 2 4 4 3 2" xfId="14070" xr:uid="{C9E5DAF4-BE0D-4F18-865D-1E224C005B5D}"/>
    <cellStyle name="Normal 5 2 2 4 4 3 3" xfId="22517" xr:uid="{0A1499E0-7D6E-4631-868D-663580CA940B}"/>
    <cellStyle name="Normal 5 2 2 4 4 4" xfId="9852" xr:uid="{5C36B982-EB98-4EE0-AB4A-5D730470D591}"/>
    <cellStyle name="Normal 5 2 2 4 4 5" xfId="18300" xr:uid="{1FC38E42-CC36-4386-BF90-0C3AE4E89EB8}"/>
    <cellStyle name="Normal 5 2 2 4 5" xfId="1726" xr:uid="{00000000-0005-0000-0000-000003180000}"/>
    <cellStyle name="Normal 5 2 2 4 5 2" xfId="3956" xr:uid="{00000000-0005-0000-0000-000004180000}"/>
    <cellStyle name="Normal 5 2 2 4 5 2 2" xfId="8178" xr:uid="{00000000-0005-0000-0000-000005180000}"/>
    <cellStyle name="Normal 5 2 2 4 5 2 2 2" xfId="16628" xr:uid="{459A4DEC-89BC-427F-A78F-CEE8C202CABA}"/>
    <cellStyle name="Normal 5 2 2 4 5 2 2 3" xfId="25075" xr:uid="{2090F404-1EAB-4A69-8C6A-D95BFA0EF011}"/>
    <cellStyle name="Normal 5 2 2 4 5 2 3" xfId="12410" xr:uid="{C0BD8AC1-E697-49E6-A8F6-08A9C57FDFAE}"/>
    <cellStyle name="Normal 5 2 2 4 5 2 4" xfId="20858" xr:uid="{FBAFB630-A24E-482D-9044-FACC156CAD65}"/>
    <cellStyle name="Normal 5 2 2 4 5 3" xfId="6033" xr:uid="{00000000-0005-0000-0000-000006180000}"/>
    <cellStyle name="Normal 5 2 2 4 5 3 2" xfId="14483" xr:uid="{BEA3D8E8-A8C4-4B5A-9A3A-3013AF545D7F}"/>
    <cellStyle name="Normal 5 2 2 4 5 3 3" xfId="22930" xr:uid="{E25842C5-0C42-4046-A9F8-1411324BA0CD}"/>
    <cellStyle name="Normal 5 2 2 4 5 4" xfId="10265" xr:uid="{7A42FD50-7125-4100-9F43-2584382EC27B}"/>
    <cellStyle name="Normal 5 2 2 4 5 5" xfId="18713" xr:uid="{008AF821-A949-429F-A134-5E5CBD294899}"/>
    <cellStyle name="Normal 5 2 2 4 6" xfId="2140" xr:uid="{00000000-0005-0000-0000-000007180000}"/>
    <cellStyle name="Normal 5 2 2 4 6 2" xfId="4369" xr:uid="{00000000-0005-0000-0000-000008180000}"/>
    <cellStyle name="Normal 5 2 2 4 6 2 2" xfId="8591" xr:uid="{00000000-0005-0000-0000-000009180000}"/>
    <cellStyle name="Normal 5 2 2 4 6 2 2 2" xfId="17041" xr:uid="{6B32819D-608F-4411-ACC0-F85992DE227C}"/>
    <cellStyle name="Normal 5 2 2 4 6 2 2 3" xfId="25488" xr:uid="{DD1CEF12-0493-4CF3-AB86-0FBB6781AEF0}"/>
    <cellStyle name="Normal 5 2 2 4 6 2 3" xfId="12823" xr:uid="{1762D21E-8781-48C0-ABC2-DF4FB7B5E9C8}"/>
    <cellStyle name="Normal 5 2 2 4 6 2 4" xfId="21271" xr:uid="{B25AD360-DC94-42AA-B0D7-CA59840931A4}"/>
    <cellStyle name="Normal 5 2 2 4 6 3" xfId="6446" xr:uid="{00000000-0005-0000-0000-00000A180000}"/>
    <cellStyle name="Normal 5 2 2 4 6 3 2" xfId="14896" xr:uid="{0CF0E1EA-7F52-41C9-B20D-F60837C8838B}"/>
    <cellStyle name="Normal 5 2 2 4 6 3 3" xfId="23343" xr:uid="{9A93C614-FE4B-4D01-A593-B1E103ADAF5E}"/>
    <cellStyle name="Normal 5 2 2 4 6 4" xfId="10678" xr:uid="{AA13E320-330B-44E4-A74F-E0B7EE8F7A99}"/>
    <cellStyle name="Normal 5 2 2 4 6 5" xfId="19126" xr:uid="{20CE9DB0-CD88-4597-935A-7CDEE0622764}"/>
    <cellStyle name="Normal 5 2 2 4 7" xfId="2576" xr:uid="{00000000-0005-0000-0000-00000B180000}"/>
    <cellStyle name="Normal 5 2 2 4 7 2" xfId="6859" xr:uid="{00000000-0005-0000-0000-00000C180000}"/>
    <cellStyle name="Normal 5 2 2 4 7 2 2" xfId="15309" xr:uid="{3233B4FF-48F2-4AA0-B6F0-AA69D0426CF2}"/>
    <cellStyle name="Normal 5 2 2 4 7 2 3" xfId="23756" xr:uid="{A5CBDB86-5858-4869-925E-BE6BD0BE8780}"/>
    <cellStyle name="Normal 5 2 2 4 7 3" xfId="11091" xr:uid="{DA62F8A1-8CCC-4F07-8AE0-56097040236D}"/>
    <cellStyle name="Normal 5 2 2 4 7 4" xfId="19539" xr:uid="{5AA8E2C6-7DEC-45DB-B3E7-35643F957B79}"/>
    <cellStyle name="Normal 5 2 2 4 8" xfId="4794" xr:uid="{00000000-0005-0000-0000-00000D180000}"/>
    <cellStyle name="Normal 5 2 2 4 8 2" xfId="13244" xr:uid="{775A9E8B-D1FE-4173-ACA3-1755B0B7505C}"/>
    <cellStyle name="Normal 5 2 2 4 8 3" xfId="21691" xr:uid="{8210A0E7-DDBD-48CA-87A4-C44871C0DD67}"/>
    <cellStyle name="Normal 5 2 2 4 9" xfId="9026" xr:uid="{5D1066DB-8B71-4572-9540-0FDC3B82C5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2 2 2" xfId="15804" xr:uid="{8C02727E-EBDA-4C7D-A5F6-BB7AC9417BA9}"/>
    <cellStyle name="Normal 5 2 2 5 2 2 2 3" xfId="24251" xr:uid="{5231DC37-5D43-4FE2-A24C-957C8AC5B3A5}"/>
    <cellStyle name="Normal 5 2 2 5 2 2 3" xfId="11586" xr:uid="{E2D3A70E-B180-4B7B-832C-47C6B677105D}"/>
    <cellStyle name="Normal 5 2 2 5 2 2 4" xfId="20034" xr:uid="{EA26F1BD-57A5-4EE6-849F-671489908400}"/>
    <cellStyle name="Normal 5 2 2 5 2 3" xfId="5209" xr:uid="{00000000-0005-0000-0000-000012180000}"/>
    <cellStyle name="Normal 5 2 2 5 2 3 2" xfId="13659" xr:uid="{6D084AA7-A26C-4AFE-8029-AB01586349CC}"/>
    <cellStyle name="Normal 5 2 2 5 2 3 3" xfId="22106" xr:uid="{4002EEE5-D31A-4F1D-B922-890A63057D1F}"/>
    <cellStyle name="Normal 5 2 2 5 2 4" xfId="9441" xr:uid="{F2BAB9BF-5B58-4C5C-BE3B-FD380F65CCD5}"/>
    <cellStyle name="Normal 5 2 2 5 2 5" xfId="17889" xr:uid="{FA312291-0A42-4719-9DE1-FDB2876346B7}"/>
    <cellStyle name="Normal 5 2 2 5 3" xfId="1315" xr:uid="{00000000-0005-0000-0000-000013180000}"/>
    <cellStyle name="Normal 5 2 2 5 3 2" xfId="3545" xr:uid="{00000000-0005-0000-0000-000014180000}"/>
    <cellStyle name="Normal 5 2 2 5 3 2 2" xfId="7767" xr:uid="{00000000-0005-0000-0000-000015180000}"/>
    <cellStyle name="Normal 5 2 2 5 3 2 2 2" xfId="16217" xr:uid="{E980D4F6-7CA2-404E-8848-186282B7A35F}"/>
    <cellStyle name="Normal 5 2 2 5 3 2 2 3" xfId="24664" xr:uid="{E5EF5AB0-087B-4060-8F43-AA2CF775CD0B}"/>
    <cellStyle name="Normal 5 2 2 5 3 2 3" xfId="11999" xr:uid="{B6C67201-E494-442C-A762-81D23DB62406}"/>
    <cellStyle name="Normal 5 2 2 5 3 2 4" xfId="20447" xr:uid="{B704D4CE-2ED9-4B73-8170-02B914A9833A}"/>
    <cellStyle name="Normal 5 2 2 5 3 3" xfId="5622" xr:uid="{00000000-0005-0000-0000-000016180000}"/>
    <cellStyle name="Normal 5 2 2 5 3 3 2" xfId="14072" xr:uid="{5F32CD83-27FC-4F2F-8262-EDE4A1BD7B05}"/>
    <cellStyle name="Normal 5 2 2 5 3 3 3" xfId="22519" xr:uid="{0A279048-D480-4A3B-9F91-C5E5889C9AE3}"/>
    <cellStyle name="Normal 5 2 2 5 3 4" xfId="9854" xr:uid="{037348B9-1BFC-454F-8A73-C68EDB5FA7F8}"/>
    <cellStyle name="Normal 5 2 2 5 3 5" xfId="18302" xr:uid="{49709235-BD02-4E43-A683-5AA7904CCA76}"/>
    <cellStyle name="Normal 5 2 2 5 4" xfId="1728" xr:uid="{00000000-0005-0000-0000-000017180000}"/>
    <cellStyle name="Normal 5 2 2 5 4 2" xfId="3958" xr:uid="{00000000-0005-0000-0000-000018180000}"/>
    <cellStyle name="Normal 5 2 2 5 4 2 2" xfId="8180" xr:uid="{00000000-0005-0000-0000-000019180000}"/>
    <cellStyle name="Normal 5 2 2 5 4 2 2 2" xfId="16630" xr:uid="{E6C6785E-3ED1-46D6-B24D-06351114A52E}"/>
    <cellStyle name="Normal 5 2 2 5 4 2 2 3" xfId="25077" xr:uid="{667CBCB9-FCC3-4273-B7D5-9765DD706E51}"/>
    <cellStyle name="Normal 5 2 2 5 4 2 3" xfId="12412" xr:uid="{497AA141-9C54-4316-82FB-3F7AD5B35261}"/>
    <cellStyle name="Normal 5 2 2 5 4 2 4" xfId="20860" xr:uid="{A670D850-8858-427C-A1DC-416DA9E59757}"/>
    <cellStyle name="Normal 5 2 2 5 4 3" xfId="6035" xr:uid="{00000000-0005-0000-0000-00001A180000}"/>
    <cellStyle name="Normal 5 2 2 5 4 3 2" xfId="14485" xr:uid="{5F030966-AF77-43EB-9767-F2B03FEA3B6D}"/>
    <cellStyle name="Normal 5 2 2 5 4 3 3" xfId="22932" xr:uid="{AFB0C977-AB41-4A6A-A90F-35BB196E9A1C}"/>
    <cellStyle name="Normal 5 2 2 5 4 4" xfId="10267" xr:uid="{E629259C-9E41-4F35-88DE-ADCA560016D3}"/>
    <cellStyle name="Normal 5 2 2 5 4 5" xfId="18715" xr:uid="{65AA0379-A5EC-4848-86EB-14A93AECC9EA}"/>
    <cellStyle name="Normal 5 2 2 5 5" xfId="2142" xr:uid="{00000000-0005-0000-0000-00001B180000}"/>
    <cellStyle name="Normal 5 2 2 5 5 2" xfId="4371" xr:uid="{00000000-0005-0000-0000-00001C180000}"/>
    <cellStyle name="Normal 5 2 2 5 5 2 2" xfId="8593" xr:uid="{00000000-0005-0000-0000-00001D180000}"/>
    <cellStyle name="Normal 5 2 2 5 5 2 2 2" xfId="17043" xr:uid="{1D9AF3DF-BD00-41BE-863F-72332B47011C}"/>
    <cellStyle name="Normal 5 2 2 5 5 2 2 3" xfId="25490" xr:uid="{073EA5CC-8A5C-4B8F-A3C3-9C238A2EDE05}"/>
    <cellStyle name="Normal 5 2 2 5 5 2 3" xfId="12825" xr:uid="{54607CE8-AC0B-488B-B4D1-A8729C26BB01}"/>
    <cellStyle name="Normal 5 2 2 5 5 2 4" xfId="21273" xr:uid="{37748915-9D70-442D-9861-CF919C0B3E9E}"/>
    <cellStyle name="Normal 5 2 2 5 5 3" xfId="6448" xr:uid="{00000000-0005-0000-0000-00001E180000}"/>
    <cellStyle name="Normal 5 2 2 5 5 3 2" xfId="14898" xr:uid="{780A557D-5FE8-4A65-88A7-3C6E46981778}"/>
    <cellStyle name="Normal 5 2 2 5 5 3 3" xfId="23345" xr:uid="{79CF1B25-D0C3-4404-BCE0-9239C61946C8}"/>
    <cellStyle name="Normal 5 2 2 5 5 4" xfId="10680" xr:uid="{8BE8BD86-9968-428F-AB67-77F94074D672}"/>
    <cellStyle name="Normal 5 2 2 5 5 5" xfId="19128" xr:uid="{FD1E98FA-D858-458F-BD36-6F898972F3CA}"/>
    <cellStyle name="Normal 5 2 2 5 6" xfId="2578" xr:uid="{00000000-0005-0000-0000-00001F180000}"/>
    <cellStyle name="Normal 5 2 2 5 6 2" xfId="6861" xr:uid="{00000000-0005-0000-0000-000020180000}"/>
    <cellStyle name="Normal 5 2 2 5 6 2 2" xfId="15311" xr:uid="{01B9F75B-1E49-4986-8F9F-DBD20577C7B2}"/>
    <cellStyle name="Normal 5 2 2 5 6 2 3" xfId="23758" xr:uid="{5BBAB71E-16D4-48CD-8DF7-1BBF9B5720E9}"/>
    <cellStyle name="Normal 5 2 2 5 6 3" xfId="11093" xr:uid="{65066E38-CA97-4B36-BE7F-320FA20446A9}"/>
    <cellStyle name="Normal 5 2 2 5 6 4" xfId="19541" xr:uid="{A18200B3-D042-4D15-9BAA-B7A6ACDB83A1}"/>
    <cellStyle name="Normal 5 2 2 5 7" xfId="4796" xr:uid="{00000000-0005-0000-0000-000021180000}"/>
    <cellStyle name="Normal 5 2 2 5 7 2" xfId="13246" xr:uid="{18A4DECB-104C-4903-8CF5-D0EDF9A52F5B}"/>
    <cellStyle name="Normal 5 2 2 5 7 3" xfId="21693" xr:uid="{50260795-7057-47DB-BE8D-F518FB327CE8}"/>
    <cellStyle name="Normal 5 2 2 5 8" xfId="9028" xr:uid="{5B10FA09-4955-4D5B-998E-0B9D507B0C10}"/>
    <cellStyle name="Normal 5 2 2 5 9" xfId="17476" xr:uid="{F9D14A3F-E2B7-4607-A2BC-FFC0DBC56F41}"/>
    <cellStyle name="Normal 5 2 2 6" xfId="882" xr:uid="{00000000-0005-0000-0000-000022180000}"/>
    <cellStyle name="Normal 5 2 2 6 2" xfId="3117" xr:uid="{00000000-0005-0000-0000-000023180000}"/>
    <cellStyle name="Normal 5 2 2 6 2 2" xfId="7339" xr:uid="{00000000-0005-0000-0000-000024180000}"/>
    <cellStyle name="Normal 5 2 2 6 2 2 2" xfId="15789" xr:uid="{A6055F9C-0C6E-4FBC-B061-AB990880D95A}"/>
    <cellStyle name="Normal 5 2 2 6 2 2 3" xfId="24236" xr:uid="{E263A4C7-E612-4EBE-87F3-E952256BE817}"/>
    <cellStyle name="Normal 5 2 2 6 2 3" xfId="11571" xr:uid="{C5166831-EFDC-421F-A138-CA922A3A1D4C}"/>
    <cellStyle name="Normal 5 2 2 6 2 4" xfId="20019" xr:uid="{E9BEEA58-C183-417B-A7DC-94A9B08AA35C}"/>
    <cellStyle name="Normal 5 2 2 6 3" xfId="5194" xr:uid="{00000000-0005-0000-0000-000025180000}"/>
    <cellStyle name="Normal 5 2 2 6 3 2" xfId="13644" xr:uid="{58ECCD9F-E28C-4991-974A-BBBB42EC9113}"/>
    <cellStyle name="Normal 5 2 2 6 3 3" xfId="22091" xr:uid="{FA2B69EE-C4E2-40CA-ACAD-7A6D7465B0D2}"/>
    <cellStyle name="Normal 5 2 2 6 4" xfId="9426" xr:uid="{F6328ADB-AA19-41D9-876C-D891A285450E}"/>
    <cellStyle name="Normal 5 2 2 6 5" xfId="17874" xr:uid="{82DD2C73-F099-4E93-A967-E341C7B49A07}"/>
    <cellStyle name="Normal 5 2 2 7" xfId="1300" xr:uid="{00000000-0005-0000-0000-000026180000}"/>
    <cellStyle name="Normal 5 2 2 7 2" xfId="3530" xr:uid="{00000000-0005-0000-0000-000027180000}"/>
    <cellStyle name="Normal 5 2 2 7 2 2" xfId="7752" xr:uid="{00000000-0005-0000-0000-000028180000}"/>
    <cellStyle name="Normal 5 2 2 7 2 2 2" xfId="16202" xr:uid="{F91C971A-BA4A-4BED-9AF6-1BBD3673B4C8}"/>
    <cellStyle name="Normal 5 2 2 7 2 2 3" xfId="24649" xr:uid="{7DD5F8FA-5C53-4562-A0AF-97F506595472}"/>
    <cellStyle name="Normal 5 2 2 7 2 3" xfId="11984" xr:uid="{EBD0277F-0585-4015-8772-FC2843A4FF6B}"/>
    <cellStyle name="Normal 5 2 2 7 2 4" xfId="20432" xr:uid="{0CC934A5-9765-4AF3-9ED7-2DAC5B3209E5}"/>
    <cellStyle name="Normal 5 2 2 7 3" xfId="5607" xr:uid="{00000000-0005-0000-0000-000029180000}"/>
    <cellStyle name="Normal 5 2 2 7 3 2" xfId="14057" xr:uid="{42217972-3B52-4A37-9562-012241FA812E}"/>
    <cellStyle name="Normal 5 2 2 7 3 3" xfId="22504" xr:uid="{0421BB4F-2A3A-48AE-91DA-1F3B84B499D5}"/>
    <cellStyle name="Normal 5 2 2 7 4" xfId="9839" xr:uid="{7514AF78-C3B4-4B6A-BB68-5BEA8ADB38CD}"/>
    <cellStyle name="Normal 5 2 2 7 5" xfId="18287" xr:uid="{A7D46383-C2F9-4360-8D86-139C4CCC874F}"/>
    <cellStyle name="Normal 5 2 2 8" xfId="1713" xr:uid="{00000000-0005-0000-0000-00002A180000}"/>
    <cellStyle name="Normal 5 2 2 8 2" xfId="3943" xr:uid="{00000000-0005-0000-0000-00002B180000}"/>
    <cellStyle name="Normal 5 2 2 8 2 2" xfId="8165" xr:uid="{00000000-0005-0000-0000-00002C180000}"/>
    <cellStyle name="Normal 5 2 2 8 2 2 2" xfId="16615" xr:uid="{77532F26-268B-4792-B7D2-5E284C010959}"/>
    <cellStyle name="Normal 5 2 2 8 2 2 3" xfId="25062" xr:uid="{22E917FA-6347-4B60-9E5F-C80DBB37D0A7}"/>
    <cellStyle name="Normal 5 2 2 8 2 3" xfId="12397" xr:uid="{B29F95A4-1A4A-4C56-9376-EEAB472B8725}"/>
    <cellStyle name="Normal 5 2 2 8 2 4" xfId="20845" xr:uid="{0416F61B-C48D-449D-BF10-15C993938DC5}"/>
    <cellStyle name="Normal 5 2 2 8 3" xfId="6020" xr:uid="{00000000-0005-0000-0000-00002D180000}"/>
    <cellStyle name="Normal 5 2 2 8 3 2" xfId="14470" xr:uid="{49672D01-0083-4755-A72A-2535402E4532}"/>
    <cellStyle name="Normal 5 2 2 8 3 3" xfId="22917" xr:uid="{52E6544D-BAD6-448A-A738-AA53D426AB37}"/>
    <cellStyle name="Normal 5 2 2 8 4" xfId="10252" xr:uid="{5B216070-1C31-4D3C-904D-35A5C28FF536}"/>
    <cellStyle name="Normal 5 2 2 8 5" xfId="18700" xr:uid="{7B67F553-2E42-48D1-B993-641702406C2C}"/>
    <cellStyle name="Normal 5 2 2 9" xfId="2127" xr:uid="{00000000-0005-0000-0000-00002E180000}"/>
    <cellStyle name="Normal 5 2 2 9 2" xfId="4356" xr:uid="{00000000-0005-0000-0000-00002F180000}"/>
    <cellStyle name="Normal 5 2 2 9 2 2" xfId="8578" xr:uid="{00000000-0005-0000-0000-000030180000}"/>
    <cellStyle name="Normal 5 2 2 9 2 2 2" xfId="17028" xr:uid="{759591C8-398F-430D-80CE-7F1151F0320D}"/>
    <cellStyle name="Normal 5 2 2 9 2 2 3" xfId="25475" xr:uid="{DCD98ED9-B765-4F15-BA26-EE9DEFDB3BD5}"/>
    <cellStyle name="Normal 5 2 2 9 2 3" xfId="12810" xr:uid="{B1D20278-E155-4068-BBA7-1D7833E4DB39}"/>
    <cellStyle name="Normal 5 2 2 9 2 4" xfId="21258" xr:uid="{9E5C237B-9766-48E4-9672-B5D936F15CDD}"/>
    <cellStyle name="Normal 5 2 2 9 3" xfId="6433" xr:uid="{00000000-0005-0000-0000-000031180000}"/>
    <cellStyle name="Normal 5 2 2 9 3 2" xfId="14883" xr:uid="{B79DDAF8-83EC-43E7-B774-68767D434378}"/>
    <cellStyle name="Normal 5 2 2 9 3 3" xfId="23330" xr:uid="{714C03F9-9773-4C21-809D-847403B600B3}"/>
    <cellStyle name="Normal 5 2 2 9 4" xfId="10665" xr:uid="{D7778CB1-7559-4111-A5DE-3323ABC10DFB}"/>
    <cellStyle name="Normal 5 2 2 9 5" xfId="19113" xr:uid="{BA176865-0B17-47A8-9130-629C3BB7AE17}"/>
    <cellStyle name="Normal 5 2 3" xfId="424" xr:uid="{00000000-0005-0000-0000-000032180000}"/>
    <cellStyle name="Normal 5 2 3 10" xfId="4797" xr:uid="{00000000-0005-0000-0000-000033180000}"/>
    <cellStyle name="Normal 5 2 3 10 2" xfId="13247" xr:uid="{D3F9CA0D-6F28-457B-8C0E-56558095420C}"/>
    <cellStyle name="Normal 5 2 3 10 3" xfId="21694" xr:uid="{DB1AE808-2FAD-41AF-BA1D-27D4B1CEA4CA}"/>
    <cellStyle name="Normal 5 2 3 11" xfId="9029" xr:uid="{6B0C0DBD-D6BC-48E3-80C3-4662F9257F71}"/>
    <cellStyle name="Normal 5 2 3 12" xfId="17477" xr:uid="{ED33ABB5-1A19-4211-92D8-971AFE24385D}"/>
    <cellStyle name="Normal 5 2 3 2" xfId="425" xr:uid="{00000000-0005-0000-0000-000034180000}"/>
    <cellStyle name="Normal 5 2 3 2 10" xfId="9030" xr:uid="{5CC45BCE-64A3-4612-BC3E-3B36ADF98103}"/>
    <cellStyle name="Normal 5 2 3 2 11" xfId="17478" xr:uid="{B0E00EA4-12FF-4ED0-BDBA-681794E22874}"/>
    <cellStyle name="Normal 5 2 3 2 2" xfId="426" xr:uid="{00000000-0005-0000-0000-000035180000}"/>
    <cellStyle name="Normal 5 2 3 2 2 10" xfId="17479" xr:uid="{81CBE5F8-7904-4837-AD4B-729FCB04443E}"/>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2 2 2" xfId="15808" xr:uid="{3431FCC2-04FF-4289-A93D-AA184B92476F}"/>
    <cellStyle name="Normal 5 2 3 2 2 2 2 2 2 3" xfId="24255" xr:uid="{9C2FA105-6E5D-4A87-8A33-6DCE8BA2F099}"/>
    <cellStyle name="Normal 5 2 3 2 2 2 2 2 3" xfId="11590" xr:uid="{9DCBFEF0-7719-4D95-BE65-C426722E3214}"/>
    <cellStyle name="Normal 5 2 3 2 2 2 2 2 4" xfId="20038" xr:uid="{3DF8173E-2A8F-4DC5-A868-2C447CD03433}"/>
    <cellStyle name="Normal 5 2 3 2 2 2 2 3" xfId="5213" xr:uid="{00000000-0005-0000-0000-00003A180000}"/>
    <cellStyle name="Normal 5 2 3 2 2 2 2 3 2" xfId="13663" xr:uid="{632103F2-FD8A-4D33-8174-977284350F71}"/>
    <cellStyle name="Normal 5 2 3 2 2 2 2 3 3" xfId="22110" xr:uid="{7BC8E997-23C4-4242-88C2-6BC79D44B3F3}"/>
    <cellStyle name="Normal 5 2 3 2 2 2 2 4" xfId="9445" xr:uid="{76F614D4-6985-4B07-86CD-0C149B253255}"/>
    <cellStyle name="Normal 5 2 3 2 2 2 2 5" xfId="17893" xr:uid="{BBF8B4EF-CF7C-487C-B02F-E6B4C0832CF8}"/>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2 2 2" xfId="16221" xr:uid="{DC6F1171-8E72-470C-AFC9-1918EEE99172}"/>
    <cellStyle name="Normal 5 2 3 2 2 2 3 2 2 3" xfId="24668" xr:uid="{A6A9A373-3FB3-4C6D-A76F-6D6E7317EFB0}"/>
    <cellStyle name="Normal 5 2 3 2 2 2 3 2 3" xfId="12003" xr:uid="{AE2245E8-4D3C-42C6-96A3-1B543C398B30}"/>
    <cellStyle name="Normal 5 2 3 2 2 2 3 2 4" xfId="20451" xr:uid="{92F61270-FDED-4B5F-80BF-5A6B5578CEEE}"/>
    <cellStyle name="Normal 5 2 3 2 2 2 3 3" xfId="5626" xr:uid="{00000000-0005-0000-0000-00003E180000}"/>
    <cellStyle name="Normal 5 2 3 2 2 2 3 3 2" xfId="14076" xr:uid="{2FFF5344-7A2F-451B-ABC0-7F1E3B31CBB2}"/>
    <cellStyle name="Normal 5 2 3 2 2 2 3 3 3" xfId="22523" xr:uid="{AC9CDA7E-F4D5-40F9-B34F-D9E859113DF2}"/>
    <cellStyle name="Normal 5 2 3 2 2 2 3 4" xfId="9858" xr:uid="{6698EEC5-675A-483A-BA98-AFA103C4AA3A}"/>
    <cellStyle name="Normal 5 2 3 2 2 2 3 5" xfId="18306" xr:uid="{5B130B25-15E6-4B8F-BA9D-11C15A235F1F}"/>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2 2 2" xfId="16634" xr:uid="{2AED4D01-1F67-413E-8497-F96888CA9BC8}"/>
    <cellStyle name="Normal 5 2 3 2 2 2 4 2 2 3" xfId="25081" xr:uid="{2A4FD327-D80B-48EF-8663-9E7867CF2E26}"/>
    <cellStyle name="Normal 5 2 3 2 2 2 4 2 3" xfId="12416" xr:uid="{81D13803-A3FA-430C-8A1A-E71776699A00}"/>
    <cellStyle name="Normal 5 2 3 2 2 2 4 2 4" xfId="20864" xr:uid="{FE709954-3DC8-4640-8B9C-6DBC41087A07}"/>
    <cellStyle name="Normal 5 2 3 2 2 2 4 3" xfId="6039" xr:uid="{00000000-0005-0000-0000-000042180000}"/>
    <cellStyle name="Normal 5 2 3 2 2 2 4 3 2" xfId="14489" xr:uid="{35C1B6AD-C9E5-43BF-A15F-B64B8BC269F8}"/>
    <cellStyle name="Normal 5 2 3 2 2 2 4 3 3" xfId="22936" xr:uid="{20D7BAD8-DD60-481E-BD7E-D16BDE42D013}"/>
    <cellStyle name="Normal 5 2 3 2 2 2 4 4" xfId="10271" xr:uid="{A16CF69D-C55A-4FCC-B709-F058D06EF80B}"/>
    <cellStyle name="Normal 5 2 3 2 2 2 4 5" xfId="18719" xr:uid="{DB4D883D-5846-48B3-923F-4A8E43D0341B}"/>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2 2 2" xfId="17047" xr:uid="{936F0713-5D0B-4DBB-944C-4057DE9A6AB1}"/>
    <cellStyle name="Normal 5 2 3 2 2 2 5 2 2 3" xfId="25494" xr:uid="{3B702972-5C85-43B9-AFEB-F67B507AB035}"/>
    <cellStyle name="Normal 5 2 3 2 2 2 5 2 3" xfId="12829" xr:uid="{9CE2A798-094B-466C-BB7F-41566C8B0A84}"/>
    <cellStyle name="Normal 5 2 3 2 2 2 5 2 4" xfId="21277" xr:uid="{F8112A7E-C7E9-4DDD-8F9F-63453B715C96}"/>
    <cellStyle name="Normal 5 2 3 2 2 2 5 3" xfId="6452" xr:uid="{00000000-0005-0000-0000-000046180000}"/>
    <cellStyle name="Normal 5 2 3 2 2 2 5 3 2" xfId="14902" xr:uid="{7E1B472F-7922-419F-A6DB-0565CB45F32D}"/>
    <cellStyle name="Normal 5 2 3 2 2 2 5 3 3" xfId="23349" xr:uid="{87B69150-5EA5-4552-B4F2-CAC7881FAD5A}"/>
    <cellStyle name="Normal 5 2 3 2 2 2 5 4" xfId="10684" xr:uid="{1760919C-8C53-4A0C-BC7F-7E60FC89C69B}"/>
    <cellStyle name="Normal 5 2 3 2 2 2 5 5" xfId="19132" xr:uid="{8F0D48FC-50C6-4105-B90F-38632BE99E86}"/>
    <cellStyle name="Normal 5 2 3 2 2 2 6" xfId="2582" xr:uid="{00000000-0005-0000-0000-000047180000}"/>
    <cellStyle name="Normal 5 2 3 2 2 2 6 2" xfId="6865" xr:uid="{00000000-0005-0000-0000-000048180000}"/>
    <cellStyle name="Normal 5 2 3 2 2 2 6 2 2" xfId="15315" xr:uid="{30FEB859-8A74-4275-97CA-143EE11294DE}"/>
    <cellStyle name="Normal 5 2 3 2 2 2 6 2 3" xfId="23762" xr:uid="{B76CB3E2-C1FE-4BF1-8CEC-D9ADFEF7E6A8}"/>
    <cellStyle name="Normal 5 2 3 2 2 2 6 3" xfId="11097" xr:uid="{2CAF4524-AD77-4D70-88E0-2CCC3FA91BA7}"/>
    <cellStyle name="Normal 5 2 3 2 2 2 6 4" xfId="19545" xr:uid="{D336233A-FA93-480F-B745-0CDB4EA6715F}"/>
    <cellStyle name="Normal 5 2 3 2 2 2 7" xfId="4800" xr:uid="{00000000-0005-0000-0000-000049180000}"/>
    <cellStyle name="Normal 5 2 3 2 2 2 7 2" xfId="13250" xr:uid="{A447FFC6-6E1B-470C-8BF2-1BA367D7EC84}"/>
    <cellStyle name="Normal 5 2 3 2 2 2 7 3" xfId="21697" xr:uid="{699EB17B-7AC5-44DE-A47A-1936316192E6}"/>
    <cellStyle name="Normal 5 2 3 2 2 2 8" xfId="9032" xr:uid="{DC9B5EBF-3D26-4340-8318-F470C20BD60D}"/>
    <cellStyle name="Normal 5 2 3 2 2 2 9" xfId="17480" xr:uid="{0C0E4728-072F-41A0-B83F-5A0A2F0640AC}"/>
    <cellStyle name="Normal 5 2 3 2 2 3" xfId="900" xr:uid="{00000000-0005-0000-0000-00004A180000}"/>
    <cellStyle name="Normal 5 2 3 2 2 3 2" xfId="3135" xr:uid="{00000000-0005-0000-0000-00004B180000}"/>
    <cellStyle name="Normal 5 2 3 2 2 3 2 2" xfId="7357" xr:uid="{00000000-0005-0000-0000-00004C180000}"/>
    <cellStyle name="Normal 5 2 3 2 2 3 2 2 2" xfId="15807" xr:uid="{8BD45492-D5B6-4E71-8D8C-91DB8D96D154}"/>
    <cellStyle name="Normal 5 2 3 2 2 3 2 2 3" xfId="24254" xr:uid="{355C5E9B-62A2-42C5-AF97-3AB47FC40D8A}"/>
    <cellStyle name="Normal 5 2 3 2 2 3 2 3" xfId="11589" xr:uid="{B6898EAB-254E-4B9D-BF6F-8082CA1B2655}"/>
    <cellStyle name="Normal 5 2 3 2 2 3 2 4" xfId="20037" xr:uid="{B33483AC-0CF4-48BE-962C-C719C0521D17}"/>
    <cellStyle name="Normal 5 2 3 2 2 3 3" xfId="5212" xr:uid="{00000000-0005-0000-0000-00004D180000}"/>
    <cellStyle name="Normal 5 2 3 2 2 3 3 2" xfId="13662" xr:uid="{C9202541-0086-4C25-87FB-80E10BC871C2}"/>
    <cellStyle name="Normal 5 2 3 2 2 3 3 3" xfId="22109" xr:uid="{0A47BA8B-ED12-42FD-8CFB-97B7A60671F7}"/>
    <cellStyle name="Normal 5 2 3 2 2 3 4" xfId="9444" xr:uid="{7A4AF8FD-63FD-4AA4-8AF3-83003652E680}"/>
    <cellStyle name="Normal 5 2 3 2 2 3 5" xfId="17892" xr:uid="{56966791-9473-4577-8DDF-4B8C8E9662BA}"/>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2 2 2" xfId="16220" xr:uid="{8D2FA297-2C1B-4C31-9D28-E2B472A0A6BB}"/>
    <cellStyle name="Normal 5 2 3 2 2 4 2 2 3" xfId="24667" xr:uid="{8340150C-0286-4293-91B2-C5BA73326259}"/>
    <cellStyle name="Normal 5 2 3 2 2 4 2 3" xfId="12002" xr:uid="{10D21916-B36A-4C02-B289-9DEBEBAB4452}"/>
    <cellStyle name="Normal 5 2 3 2 2 4 2 4" xfId="20450" xr:uid="{DD969985-2F56-4AD1-ABD3-8866B7138A39}"/>
    <cellStyle name="Normal 5 2 3 2 2 4 3" xfId="5625" xr:uid="{00000000-0005-0000-0000-000051180000}"/>
    <cellStyle name="Normal 5 2 3 2 2 4 3 2" xfId="14075" xr:uid="{E13DB4A1-2E50-45DE-BDAF-EE061BA58113}"/>
    <cellStyle name="Normal 5 2 3 2 2 4 3 3" xfId="22522" xr:uid="{D72106BB-BA4A-44E8-B5A2-43B06AA57B4C}"/>
    <cellStyle name="Normal 5 2 3 2 2 4 4" xfId="9857" xr:uid="{A14F8A33-04B1-4888-A702-136B73B6E3EF}"/>
    <cellStyle name="Normal 5 2 3 2 2 4 5" xfId="18305" xr:uid="{113E33D7-07BE-49D3-97CF-D02CC551472E}"/>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2 2 2" xfId="16633" xr:uid="{035825A2-B162-419F-AE1A-DF2B67809E4F}"/>
    <cellStyle name="Normal 5 2 3 2 2 5 2 2 3" xfId="25080" xr:uid="{575E5D34-B846-444D-BFC4-CFCC647838C9}"/>
    <cellStyle name="Normal 5 2 3 2 2 5 2 3" xfId="12415" xr:uid="{0CFDAF46-FBED-4FF7-A684-E8FEC0608FF2}"/>
    <cellStyle name="Normal 5 2 3 2 2 5 2 4" xfId="20863" xr:uid="{2B0FE5DF-721C-409C-8511-05EF7AEED2A8}"/>
    <cellStyle name="Normal 5 2 3 2 2 5 3" xfId="6038" xr:uid="{00000000-0005-0000-0000-000055180000}"/>
    <cellStyle name="Normal 5 2 3 2 2 5 3 2" xfId="14488" xr:uid="{8CC282B2-79C0-4D3A-A4C2-B4822E0198BA}"/>
    <cellStyle name="Normal 5 2 3 2 2 5 3 3" xfId="22935" xr:uid="{10972730-350E-4FC8-A09E-E6C38ED69B47}"/>
    <cellStyle name="Normal 5 2 3 2 2 5 4" xfId="10270" xr:uid="{0AABC739-7EB2-4424-98FD-4459584D5A00}"/>
    <cellStyle name="Normal 5 2 3 2 2 5 5" xfId="18718" xr:uid="{652B4D00-E0AD-4114-B1B1-2EA7F11575E7}"/>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2 2 2" xfId="17046" xr:uid="{8B5AE510-AAAE-4BE8-871C-8C76BBC121F8}"/>
    <cellStyle name="Normal 5 2 3 2 2 6 2 2 3" xfId="25493" xr:uid="{10281F6B-A007-451C-B2D6-A02C4FB1011F}"/>
    <cellStyle name="Normal 5 2 3 2 2 6 2 3" xfId="12828" xr:uid="{27C577B3-56EC-43B5-9C88-A9D13AD7DCF2}"/>
    <cellStyle name="Normal 5 2 3 2 2 6 2 4" xfId="21276" xr:uid="{87D408E1-C0FA-46DA-BB8B-DDEE412572ED}"/>
    <cellStyle name="Normal 5 2 3 2 2 6 3" xfId="6451" xr:uid="{00000000-0005-0000-0000-000059180000}"/>
    <cellStyle name="Normal 5 2 3 2 2 6 3 2" xfId="14901" xr:uid="{1CB1919C-956E-4B0D-978E-8A62F9F0D2C1}"/>
    <cellStyle name="Normal 5 2 3 2 2 6 3 3" xfId="23348" xr:uid="{58E61A7B-A385-4849-8362-CAE0C08B729E}"/>
    <cellStyle name="Normal 5 2 3 2 2 6 4" xfId="10683" xr:uid="{73AE2799-7BE4-4D46-8ED4-EB70DC5F5C59}"/>
    <cellStyle name="Normal 5 2 3 2 2 6 5" xfId="19131" xr:uid="{F4BB2BE5-F12C-49C3-BE97-5EF9DB9A805F}"/>
    <cellStyle name="Normal 5 2 3 2 2 7" xfId="2581" xr:uid="{00000000-0005-0000-0000-00005A180000}"/>
    <cellStyle name="Normal 5 2 3 2 2 7 2" xfId="6864" xr:uid="{00000000-0005-0000-0000-00005B180000}"/>
    <cellStyle name="Normal 5 2 3 2 2 7 2 2" xfId="15314" xr:uid="{963DB8A2-308F-4CDD-9883-0B9A89A3E6BE}"/>
    <cellStyle name="Normal 5 2 3 2 2 7 2 3" xfId="23761" xr:uid="{65D80ABB-0BDD-4739-AA6F-406CCFF8691E}"/>
    <cellStyle name="Normal 5 2 3 2 2 7 3" xfId="11096" xr:uid="{B8049455-88B6-43AF-8351-239042085BC2}"/>
    <cellStyle name="Normal 5 2 3 2 2 7 4" xfId="19544" xr:uid="{9F379977-C987-472C-B4B1-0C63051CA646}"/>
    <cellStyle name="Normal 5 2 3 2 2 8" xfId="4799" xr:uid="{00000000-0005-0000-0000-00005C180000}"/>
    <cellStyle name="Normal 5 2 3 2 2 8 2" xfId="13249" xr:uid="{AE3539EF-58FF-464A-99EC-1FB5B1678B03}"/>
    <cellStyle name="Normal 5 2 3 2 2 8 3" xfId="21696" xr:uid="{A1416347-46AF-444F-83FF-C5EEE310DB74}"/>
    <cellStyle name="Normal 5 2 3 2 2 9" xfId="9031" xr:uid="{0BB91C1F-0616-47D3-81DD-EBF6E2103E1C}"/>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2 2 2" xfId="15809" xr:uid="{AA944467-0B39-4BEE-BA70-1BE5E028CA7A}"/>
    <cellStyle name="Normal 5 2 3 2 3 2 2 2 3" xfId="24256" xr:uid="{D817FE1D-5593-46F4-B042-74C33ED0A8E5}"/>
    <cellStyle name="Normal 5 2 3 2 3 2 2 3" xfId="11591" xr:uid="{58C42EB4-57B1-437A-A333-342326262936}"/>
    <cellStyle name="Normal 5 2 3 2 3 2 2 4" xfId="20039" xr:uid="{B2299D6B-1589-4F31-BEE7-FCC4BB6BB4D5}"/>
    <cellStyle name="Normal 5 2 3 2 3 2 3" xfId="5214" xr:uid="{00000000-0005-0000-0000-000061180000}"/>
    <cellStyle name="Normal 5 2 3 2 3 2 3 2" xfId="13664" xr:uid="{2BFC0414-674D-4D7E-942A-0C1BC3F02958}"/>
    <cellStyle name="Normal 5 2 3 2 3 2 3 3" xfId="22111" xr:uid="{0BA2877A-DEAB-4FFB-9C34-962FA5EF8B56}"/>
    <cellStyle name="Normal 5 2 3 2 3 2 4" xfId="9446" xr:uid="{8611536A-FC1B-49DD-90F9-A0661A6B8426}"/>
    <cellStyle name="Normal 5 2 3 2 3 2 5" xfId="17894" xr:uid="{7964555A-7F82-4BE4-8C18-09CB4CA9E69A}"/>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2 2 2" xfId="16222" xr:uid="{AC0F4845-51AA-4722-9250-C47A8945626E}"/>
    <cellStyle name="Normal 5 2 3 2 3 3 2 2 3" xfId="24669" xr:uid="{16EDEE95-E889-452C-95E7-37113A29EC88}"/>
    <cellStyle name="Normal 5 2 3 2 3 3 2 3" xfId="12004" xr:uid="{FA07A194-2423-4226-B144-01ADC2F363BF}"/>
    <cellStyle name="Normal 5 2 3 2 3 3 2 4" xfId="20452" xr:uid="{081EB095-BA17-41E3-95F5-8BD2B46CF63D}"/>
    <cellStyle name="Normal 5 2 3 2 3 3 3" xfId="5627" xr:uid="{00000000-0005-0000-0000-000065180000}"/>
    <cellStyle name="Normal 5 2 3 2 3 3 3 2" xfId="14077" xr:uid="{17CD7694-300F-4B8B-8ED4-BDC7526C8554}"/>
    <cellStyle name="Normal 5 2 3 2 3 3 3 3" xfId="22524" xr:uid="{BFC31CF8-9E38-409E-9786-2D3243ED2A61}"/>
    <cellStyle name="Normal 5 2 3 2 3 3 4" xfId="9859" xr:uid="{DAC263E1-D47A-4632-9D32-83B7766C16A6}"/>
    <cellStyle name="Normal 5 2 3 2 3 3 5" xfId="18307" xr:uid="{065D0ABE-F434-4E8A-8661-57EB339779C7}"/>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2 2 2" xfId="16635" xr:uid="{91176ABD-49DD-4476-8F1C-0D0C4809DB96}"/>
    <cellStyle name="Normal 5 2 3 2 3 4 2 2 3" xfId="25082" xr:uid="{F17FF4CA-ACAC-48C4-9CF0-259D1C697E5B}"/>
    <cellStyle name="Normal 5 2 3 2 3 4 2 3" xfId="12417" xr:uid="{C337A40F-4A4D-4B8F-90F4-F54B345E212E}"/>
    <cellStyle name="Normal 5 2 3 2 3 4 2 4" xfId="20865" xr:uid="{77D213F9-0966-4723-A12D-F736835060E5}"/>
    <cellStyle name="Normal 5 2 3 2 3 4 3" xfId="6040" xr:uid="{00000000-0005-0000-0000-000069180000}"/>
    <cellStyle name="Normal 5 2 3 2 3 4 3 2" xfId="14490" xr:uid="{67ADFFBE-EC80-438C-A046-1959212CEF0E}"/>
    <cellStyle name="Normal 5 2 3 2 3 4 3 3" xfId="22937" xr:uid="{14A297A7-C7D2-41C2-A385-B261BFA2A739}"/>
    <cellStyle name="Normal 5 2 3 2 3 4 4" xfId="10272" xr:uid="{28E2D69A-F3B4-41D3-ABFD-46F3DD2664B8}"/>
    <cellStyle name="Normal 5 2 3 2 3 4 5" xfId="18720" xr:uid="{A977A210-7C19-478C-BE75-F45F98D4062F}"/>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2 2 2" xfId="17048" xr:uid="{7BCAF41F-E021-4933-9F73-ADE4FAE7222A}"/>
    <cellStyle name="Normal 5 2 3 2 3 5 2 2 3" xfId="25495" xr:uid="{FF16B600-F685-4198-A126-3E7558EA3FF3}"/>
    <cellStyle name="Normal 5 2 3 2 3 5 2 3" xfId="12830" xr:uid="{4A7BAD94-8B90-4B6B-8284-3449BDB65773}"/>
    <cellStyle name="Normal 5 2 3 2 3 5 2 4" xfId="21278" xr:uid="{6D64459B-530D-4E77-956B-995D727D4D10}"/>
    <cellStyle name="Normal 5 2 3 2 3 5 3" xfId="6453" xr:uid="{00000000-0005-0000-0000-00006D180000}"/>
    <cellStyle name="Normal 5 2 3 2 3 5 3 2" xfId="14903" xr:uid="{B8F29991-F249-4DDE-95BA-E90DCABBD723}"/>
    <cellStyle name="Normal 5 2 3 2 3 5 3 3" xfId="23350" xr:uid="{95D8ADE6-9469-48EF-ACDA-A04C482A68A1}"/>
    <cellStyle name="Normal 5 2 3 2 3 5 4" xfId="10685" xr:uid="{8FF88644-531D-4144-A310-8AF0B97F2021}"/>
    <cellStyle name="Normal 5 2 3 2 3 5 5" xfId="19133" xr:uid="{89A37B48-5A2C-45DE-B30A-AD3238B55C25}"/>
    <cellStyle name="Normal 5 2 3 2 3 6" xfId="2583" xr:uid="{00000000-0005-0000-0000-00006E180000}"/>
    <cellStyle name="Normal 5 2 3 2 3 6 2" xfId="6866" xr:uid="{00000000-0005-0000-0000-00006F180000}"/>
    <cellStyle name="Normal 5 2 3 2 3 6 2 2" xfId="15316" xr:uid="{3953D87A-6A78-4C30-861D-CA41DD7D2478}"/>
    <cellStyle name="Normal 5 2 3 2 3 6 2 3" xfId="23763" xr:uid="{553F1A03-8EDC-40DB-A5EA-9D0345F58098}"/>
    <cellStyle name="Normal 5 2 3 2 3 6 3" xfId="11098" xr:uid="{D364BC32-7E05-4EE1-99AA-97E75761BF5A}"/>
    <cellStyle name="Normal 5 2 3 2 3 6 4" xfId="19546" xr:uid="{ABE696C7-67EB-4293-AE41-18AC9CF18686}"/>
    <cellStyle name="Normal 5 2 3 2 3 7" xfId="4801" xr:uid="{00000000-0005-0000-0000-000070180000}"/>
    <cellStyle name="Normal 5 2 3 2 3 7 2" xfId="13251" xr:uid="{72A4407F-B128-4971-BA6D-1E46483B5343}"/>
    <cellStyle name="Normal 5 2 3 2 3 7 3" xfId="21698" xr:uid="{714CEBDC-B53B-4114-84C8-77CD56799236}"/>
    <cellStyle name="Normal 5 2 3 2 3 8" xfId="9033" xr:uid="{7086C988-5520-4632-B82B-FF76353C6727}"/>
    <cellStyle name="Normal 5 2 3 2 3 9" xfId="17481" xr:uid="{49F4DD69-FC27-438A-B853-D87C4C017EE7}"/>
    <cellStyle name="Normal 5 2 3 2 4" xfId="899" xr:uid="{00000000-0005-0000-0000-000071180000}"/>
    <cellStyle name="Normal 5 2 3 2 4 2" xfId="3134" xr:uid="{00000000-0005-0000-0000-000072180000}"/>
    <cellStyle name="Normal 5 2 3 2 4 2 2" xfId="7356" xr:uid="{00000000-0005-0000-0000-000073180000}"/>
    <cellStyle name="Normal 5 2 3 2 4 2 2 2" xfId="15806" xr:uid="{0212ED43-0151-4A4C-8947-A7D068B20D11}"/>
    <cellStyle name="Normal 5 2 3 2 4 2 2 3" xfId="24253" xr:uid="{29EA73B9-BD19-4415-8292-DBE4D29A15A4}"/>
    <cellStyle name="Normal 5 2 3 2 4 2 3" xfId="11588" xr:uid="{F089FC28-5F24-4065-9759-5BC2ACD6D690}"/>
    <cellStyle name="Normal 5 2 3 2 4 2 4" xfId="20036" xr:uid="{45F2F665-EC59-4401-8F30-B59DC55A7137}"/>
    <cellStyle name="Normal 5 2 3 2 4 3" xfId="5211" xr:uid="{00000000-0005-0000-0000-000074180000}"/>
    <cellStyle name="Normal 5 2 3 2 4 3 2" xfId="13661" xr:uid="{2586178D-4646-4A47-931E-16DEE2157741}"/>
    <cellStyle name="Normal 5 2 3 2 4 3 3" xfId="22108" xr:uid="{EDD6ADFD-2DC4-4061-A1B7-6337B636EE17}"/>
    <cellStyle name="Normal 5 2 3 2 4 4" xfId="9443" xr:uid="{51281BC0-A903-4343-AD7A-936BBAE6BAEC}"/>
    <cellStyle name="Normal 5 2 3 2 4 5" xfId="17891" xr:uid="{88F05C97-4CFE-4675-BE0F-4284A4BF6192}"/>
    <cellStyle name="Normal 5 2 3 2 5" xfId="1317" xr:uid="{00000000-0005-0000-0000-000075180000}"/>
    <cellStyle name="Normal 5 2 3 2 5 2" xfId="3547" xr:uid="{00000000-0005-0000-0000-000076180000}"/>
    <cellStyle name="Normal 5 2 3 2 5 2 2" xfId="7769" xr:uid="{00000000-0005-0000-0000-000077180000}"/>
    <cellStyle name="Normal 5 2 3 2 5 2 2 2" xfId="16219" xr:uid="{9BAE6BC2-6901-47B5-8BFD-4845E4ABFE9D}"/>
    <cellStyle name="Normal 5 2 3 2 5 2 2 3" xfId="24666" xr:uid="{3AE154EE-E9E7-4394-94CA-DE1ACD919C26}"/>
    <cellStyle name="Normal 5 2 3 2 5 2 3" xfId="12001" xr:uid="{A52ACDDF-DE2D-4548-8247-DE9D06A7E464}"/>
    <cellStyle name="Normal 5 2 3 2 5 2 4" xfId="20449" xr:uid="{A56ED349-0597-4FEE-9137-36596A54391C}"/>
    <cellStyle name="Normal 5 2 3 2 5 3" xfId="5624" xr:uid="{00000000-0005-0000-0000-000078180000}"/>
    <cellStyle name="Normal 5 2 3 2 5 3 2" xfId="14074" xr:uid="{19FC1C50-DCDD-4439-A6AA-102E0D765689}"/>
    <cellStyle name="Normal 5 2 3 2 5 3 3" xfId="22521" xr:uid="{CC8CEE2E-00B8-4FD8-8B6A-9760C70DFC86}"/>
    <cellStyle name="Normal 5 2 3 2 5 4" xfId="9856" xr:uid="{F28139D9-139E-486C-B4D6-B6421ACA656D}"/>
    <cellStyle name="Normal 5 2 3 2 5 5" xfId="18304" xr:uid="{7BDDD5E1-A305-49D9-8455-CCABF3B04B9E}"/>
    <cellStyle name="Normal 5 2 3 2 6" xfId="1730" xr:uid="{00000000-0005-0000-0000-000079180000}"/>
    <cellStyle name="Normal 5 2 3 2 6 2" xfId="3960" xr:uid="{00000000-0005-0000-0000-00007A180000}"/>
    <cellStyle name="Normal 5 2 3 2 6 2 2" xfId="8182" xr:uid="{00000000-0005-0000-0000-00007B180000}"/>
    <cellStyle name="Normal 5 2 3 2 6 2 2 2" xfId="16632" xr:uid="{4156DB90-B4BF-4DD6-A3B7-3E8F47463B18}"/>
    <cellStyle name="Normal 5 2 3 2 6 2 2 3" xfId="25079" xr:uid="{55F70D66-4A01-4ECB-BECB-D0C864834546}"/>
    <cellStyle name="Normal 5 2 3 2 6 2 3" xfId="12414" xr:uid="{BD3CDDD7-DA12-4737-81C2-04BF9852409C}"/>
    <cellStyle name="Normal 5 2 3 2 6 2 4" xfId="20862" xr:uid="{4E45ABBB-AC14-4399-966B-62F2447B360A}"/>
    <cellStyle name="Normal 5 2 3 2 6 3" xfId="6037" xr:uid="{00000000-0005-0000-0000-00007C180000}"/>
    <cellStyle name="Normal 5 2 3 2 6 3 2" xfId="14487" xr:uid="{12EE1F7D-38E2-48DD-A78E-1E535A71C0BA}"/>
    <cellStyle name="Normal 5 2 3 2 6 3 3" xfId="22934" xr:uid="{329580AE-1C61-48AE-A8DA-03CD28A1B846}"/>
    <cellStyle name="Normal 5 2 3 2 6 4" xfId="10269" xr:uid="{BC13693F-46DE-4206-AD14-68A70F7830CC}"/>
    <cellStyle name="Normal 5 2 3 2 6 5" xfId="18717" xr:uid="{8E43E641-CB4A-46A3-9E30-E386F451DDF4}"/>
    <cellStyle name="Normal 5 2 3 2 7" xfId="2144" xr:uid="{00000000-0005-0000-0000-00007D180000}"/>
    <cellStyle name="Normal 5 2 3 2 7 2" xfId="4373" xr:uid="{00000000-0005-0000-0000-00007E180000}"/>
    <cellStyle name="Normal 5 2 3 2 7 2 2" xfId="8595" xr:uid="{00000000-0005-0000-0000-00007F180000}"/>
    <cellStyle name="Normal 5 2 3 2 7 2 2 2" xfId="17045" xr:uid="{901EC9E1-04FA-4E93-8D3E-8CAE5DD9CF89}"/>
    <cellStyle name="Normal 5 2 3 2 7 2 2 3" xfId="25492" xr:uid="{07FEC2D2-FA9D-4EFA-A910-117FB055D0B0}"/>
    <cellStyle name="Normal 5 2 3 2 7 2 3" xfId="12827" xr:uid="{A8B3C9C8-4FE6-4F3F-A5FD-BF7BE92298D1}"/>
    <cellStyle name="Normal 5 2 3 2 7 2 4" xfId="21275" xr:uid="{E6AE511C-03BC-442F-A00A-86CE114426D6}"/>
    <cellStyle name="Normal 5 2 3 2 7 3" xfId="6450" xr:uid="{00000000-0005-0000-0000-000080180000}"/>
    <cellStyle name="Normal 5 2 3 2 7 3 2" xfId="14900" xr:uid="{C22EE2C2-A14C-4C57-8A62-5D1866F038DB}"/>
    <cellStyle name="Normal 5 2 3 2 7 3 3" xfId="23347" xr:uid="{009835EF-9417-4EEE-BC2C-04E1677FDFC9}"/>
    <cellStyle name="Normal 5 2 3 2 7 4" xfId="10682" xr:uid="{1DAF1B7C-8D24-4737-B16A-DA2077F5DB28}"/>
    <cellStyle name="Normal 5 2 3 2 7 5" xfId="19130" xr:uid="{C8B0B997-12A3-499D-873F-6E0A44D9D455}"/>
    <cellStyle name="Normal 5 2 3 2 8" xfId="2580" xr:uid="{00000000-0005-0000-0000-000081180000}"/>
    <cellStyle name="Normal 5 2 3 2 8 2" xfId="6863" xr:uid="{00000000-0005-0000-0000-000082180000}"/>
    <cellStyle name="Normal 5 2 3 2 8 2 2" xfId="15313" xr:uid="{9C590148-BBE8-45C2-A67A-7C1E26BC49C8}"/>
    <cellStyle name="Normal 5 2 3 2 8 2 3" xfId="23760" xr:uid="{14087529-738C-4C8C-A48E-B9EAF08E7F5A}"/>
    <cellStyle name="Normal 5 2 3 2 8 3" xfId="11095" xr:uid="{49C56A0E-5E7C-4AB4-ADA2-EDFBFB908A98}"/>
    <cellStyle name="Normal 5 2 3 2 8 4" xfId="19543" xr:uid="{FBFE9ADA-DCFB-4621-AA79-3157A9EAF1A4}"/>
    <cellStyle name="Normal 5 2 3 2 9" xfId="4798" xr:uid="{00000000-0005-0000-0000-000083180000}"/>
    <cellStyle name="Normal 5 2 3 2 9 2" xfId="13248" xr:uid="{8ADAF678-56E9-4EF9-BC9D-2D1BE52F1A01}"/>
    <cellStyle name="Normal 5 2 3 2 9 3" xfId="21695" xr:uid="{9025D766-3FD7-446B-81B5-8D1F8E25EBDD}"/>
    <cellStyle name="Normal 5 2 3 3" xfId="429" xr:uid="{00000000-0005-0000-0000-000084180000}"/>
    <cellStyle name="Normal 5 2 3 3 10" xfId="17482" xr:uid="{5C9F740C-8D84-4943-9D10-A3E7C314BACF}"/>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2 2 2" xfId="15811" xr:uid="{ECA422C8-71D2-4FE4-839F-BB99053F47E3}"/>
    <cellStyle name="Normal 5 2 3 3 2 2 2 2 3" xfId="24258" xr:uid="{160FA715-FA53-4375-8544-5D10B3B283B9}"/>
    <cellStyle name="Normal 5 2 3 3 2 2 2 3" xfId="11593" xr:uid="{2880AA8C-2237-47DC-B250-70AF0239EBFF}"/>
    <cellStyle name="Normal 5 2 3 3 2 2 2 4" xfId="20041" xr:uid="{61F52C84-D92E-459B-A53E-3708DC54C853}"/>
    <cellStyle name="Normal 5 2 3 3 2 2 3" xfId="5216" xr:uid="{00000000-0005-0000-0000-000089180000}"/>
    <cellStyle name="Normal 5 2 3 3 2 2 3 2" xfId="13666" xr:uid="{1FB8EBEB-C309-4502-8D77-B168C0DA0B7B}"/>
    <cellStyle name="Normal 5 2 3 3 2 2 3 3" xfId="22113" xr:uid="{80A5738B-E752-4526-8F82-F245974964D3}"/>
    <cellStyle name="Normal 5 2 3 3 2 2 4" xfId="9448" xr:uid="{7592FD85-91DF-432E-91A4-9A054FC03F0C}"/>
    <cellStyle name="Normal 5 2 3 3 2 2 5" xfId="17896" xr:uid="{D3293EC3-075D-479E-AF7C-F34B4624AB5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2 2 2" xfId="16224" xr:uid="{D48A8637-D09C-4C19-8C72-20B6E5B12268}"/>
    <cellStyle name="Normal 5 2 3 3 2 3 2 2 3" xfId="24671" xr:uid="{BD484EBF-5A9E-4029-8010-175F3E7AA103}"/>
    <cellStyle name="Normal 5 2 3 3 2 3 2 3" xfId="12006" xr:uid="{2D31F9DB-B4E8-4E52-B512-6527D1B69D4E}"/>
    <cellStyle name="Normal 5 2 3 3 2 3 2 4" xfId="20454" xr:uid="{3A13396E-DCDB-4AE2-822A-0DD03DA81578}"/>
    <cellStyle name="Normal 5 2 3 3 2 3 3" xfId="5629" xr:uid="{00000000-0005-0000-0000-00008D180000}"/>
    <cellStyle name="Normal 5 2 3 3 2 3 3 2" xfId="14079" xr:uid="{E8368994-FED3-4569-80EF-1181650C9C16}"/>
    <cellStyle name="Normal 5 2 3 3 2 3 3 3" xfId="22526" xr:uid="{C9F1F80D-C3AC-4512-B058-BB49A8E4FC3E}"/>
    <cellStyle name="Normal 5 2 3 3 2 3 4" xfId="9861" xr:uid="{D21E9479-B89C-4939-8FE5-29F75662F8B2}"/>
    <cellStyle name="Normal 5 2 3 3 2 3 5" xfId="18309" xr:uid="{A7AF3459-A075-441F-BF78-E4408B82E819}"/>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2 2 2" xfId="16637" xr:uid="{FE7D1BC3-56F0-4E10-B1E4-D248A00CE78C}"/>
    <cellStyle name="Normal 5 2 3 3 2 4 2 2 3" xfId="25084" xr:uid="{1287E27A-78B3-4059-BEDE-17AAFAF9BF20}"/>
    <cellStyle name="Normal 5 2 3 3 2 4 2 3" xfId="12419" xr:uid="{E07BEE18-151A-4359-9FE1-BED4E9F6834A}"/>
    <cellStyle name="Normal 5 2 3 3 2 4 2 4" xfId="20867" xr:uid="{F92AF7DE-F754-4120-AF80-1AAA850B8075}"/>
    <cellStyle name="Normal 5 2 3 3 2 4 3" xfId="6042" xr:uid="{00000000-0005-0000-0000-000091180000}"/>
    <cellStyle name="Normal 5 2 3 3 2 4 3 2" xfId="14492" xr:uid="{EA27A0CB-94A4-4623-9E73-5407AD2D7472}"/>
    <cellStyle name="Normal 5 2 3 3 2 4 3 3" xfId="22939" xr:uid="{EC2BC1EA-5AE7-4A76-AAC3-1AC6EE17CE53}"/>
    <cellStyle name="Normal 5 2 3 3 2 4 4" xfId="10274" xr:uid="{C27865F1-42D2-4057-9391-753D0ACBFF31}"/>
    <cellStyle name="Normal 5 2 3 3 2 4 5" xfId="18722" xr:uid="{42CE634E-1B45-4148-A5BD-80835B31EC68}"/>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2 2 2" xfId="17050" xr:uid="{0FCA8A96-2FC1-4382-AACA-768FC1E5B23E}"/>
    <cellStyle name="Normal 5 2 3 3 2 5 2 2 3" xfId="25497" xr:uid="{2A9A775A-8356-4F3E-8967-B1F257BD780A}"/>
    <cellStyle name="Normal 5 2 3 3 2 5 2 3" xfId="12832" xr:uid="{1DD5BA76-12AA-46A2-9408-76800B04CC26}"/>
    <cellStyle name="Normal 5 2 3 3 2 5 2 4" xfId="21280" xr:uid="{3706F993-0375-488F-B77E-9C4D161BA033}"/>
    <cellStyle name="Normal 5 2 3 3 2 5 3" xfId="6455" xr:uid="{00000000-0005-0000-0000-000095180000}"/>
    <cellStyle name="Normal 5 2 3 3 2 5 3 2" xfId="14905" xr:uid="{28A8DFB9-DEE5-407B-B81B-D8D714034670}"/>
    <cellStyle name="Normal 5 2 3 3 2 5 3 3" xfId="23352" xr:uid="{C525A7C5-F24B-4F3D-8DC0-9717B65C18EB}"/>
    <cellStyle name="Normal 5 2 3 3 2 5 4" xfId="10687" xr:uid="{D7FDA21F-535D-412E-9D58-FFC11152EB68}"/>
    <cellStyle name="Normal 5 2 3 3 2 5 5" xfId="19135" xr:uid="{D405A237-5BFE-47BB-A2ED-64C402125ECA}"/>
    <cellStyle name="Normal 5 2 3 3 2 6" xfId="2585" xr:uid="{00000000-0005-0000-0000-000096180000}"/>
    <cellStyle name="Normal 5 2 3 3 2 6 2" xfId="6868" xr:uid="{00000000-0005-0000-0000-000097180000}"/>
    <cellStyle name="Normal 5 2 3 3 2 6 2 2" xfId="15318" xr:uid="{30787C02-B4A4-4C4F-9320-EF7D2F1041B6}"/>
    <cellStyle name="Normal 5 2 3 3 2 6 2 3" xfId="23765" xr:uid="{4763EB49-DC68-48A7-89E6-37C8A9B1FFB7}"/>
    <cellStyle name="Normal 5 2 3 3 2 6 3" xfId="11100" xr:uid="{3D53C313-BA2B-4F36-BB49-904B91996058}"/>
    <cellStyle name="Normal 5 2 3 3 2 6 4" xfId="19548" xr:uid="{8F52BB26-D263-4E1D-9D3F-469B98AE1D4C}"/>
    <cellStyle name="Normal 5 2 3 3 2 7" xfId="4803" xr:uid="{00000000-0005-0000-0000-000098180000}"/>
    <cellStyle name="Normal 5 2 3 3 2 7 2" xfId="13253" xr:uid="{E04DACDA-7EBC-4594-9707-A59B609248D6}"/>
    <cellStyle name="Normal 5 2 3 3 2 7 3" xfId="21700" xr:uid="{B88247A2-3941-4F94-B2F9-DA0DC7D88B81}"/>
    <cellStyle name="Normal 5 2 3 3 2 8" xfId="9035" xr:uid="{2AE0D524-0916-4880-8E56-0B283BAF03DB}"/>
    <cellStyle name="Normal 5 2 3 3 2 9" xfId="17483" xr:uid="{2471ED10-2809-42C5-BC27-103B54D090B0}"/>
    <cellStyle name="Normal 5 2 3 3 3" xfId="903" xr:uid="{00000000-0005-0000-0000-000099180000}"/>
    <cellStyle name="Normal 5 2 3 3 3 2" xfId="3138" xr:uid="{00000000-0005-0000-0000-00009A180000}"/>
    <cellStyle name="Normal 5 2 3 3 3 2 2" xfId="7360" xr:uid="{00000000-0005-0000-0000-00009B180000}"/>
    <cellStyle name="Normal 5 2 3 3 3 2 2 2" xfId="15810" xr:uid="{A9363C40-10AF-403C-81A3-7E260E644502}"/>
    <cellStyle name="Normal 5 2 3 3 3 2 2 3" xfId="24257" xr:uid="{1FAC4BCF-361A-4852-9412-FD57DCB308AE}"/>
    <cellStyle name="Normal 5 2 3 3 3 2 3" xfId="11592" xr:uid="{5B4A5F7D-5F90-4B94-8052-DDA06D1D3832}"/>
    <cellStyle name="Normal 5 2 3 3 3 2 4" xfId="20040" xr:uid="{DFAA0517-1B73-4ECE-9EF3-47F5AA4E38F6}"/>
    <cellStyle name="Normal 5 2 3 3 3 3" xfId="5215" xr:uid="{00000000-0005-0000-0000-00009C180000}"/>
    <cellStyle name="Normal 5 2 3 3 3 3 2" xfId="13665" xr:uid="{C4028493-E8E3-40AF-B492-89335C7DE7D8}"/>
    <cellStyle name="Normal 5 2 3 3 3 3 3" xfId="22112" xr:uid="{9C24F053-8B74-43A8-8823-DED8291D7CFD}"/>
    <cellStyle name="Normal 5 2 3 3 3 4" xfId="9447" xr:uid="{DCA931B9-0F4B-4608-8FDC-144B3C828CF3}"/>
    <cellStyle name="Normal 5 2 3 3 3 5" xfId="17895" xr:uid="{765157F3-BBE6-461C-81A0-B090DBE28458}"/>
    <cellStyle name="Normal 5 2 3 3 4" xfId="1321" xr:uid="{00000000-0005-0000-0000-00009D180000}"/>
    <cellStyle name="Normal 5 2 3 3 4 2" xfId="3551" xr:uid="{00000000-0005-0000-0000-00009E180000}"/>
    <cellStyle name="Normal 5 2 3 3 4 2 2" xfId="7773" xr:uid="{00000000-0005-0000-0000-00009F180000}"/>
    <cellStyle name="Normal 5 2 3 3 4 2 2 2" xfId="16223" xr:uid="{6A38D1DA-DF62-4C30-A882-A26DDA2AB1A9}"/>
    <cellStyle name="Normal 5 2 3 3 4 2 2 3" xfId="24670" xr:uid="{13B6B1E9-2561-45B8-8FE4-BF01EEEED97F}"/>
    <cellStyle name="Normal 5 2 3 3 4 2 3" xfId="12005" xr:uid="{D949C451-1ABF-4ADC-916E-DFF6E396AF1E}"/>
    <cellStyle name="Normal 5 2 3 3 4 2 4" xfId="20453" xr:uid="{A8598B1A-64A9-448B-966C-559B7EC6B028}"/>
    <cellStyle name="Normal 5 2 3 3 4 3" xfId="5628" xr:uid="{00000000-0005-0000-0000-0000A0180000}"/>
    <cellStyle name="Normal 5 2 3 3 4 3 2" xfId="14078" xr:uid="{3A804357-CF5B-4DFF-911E-CAFA2ABCE5D1}"/>
    <cellStyle name="Normal 5 2 3 3 4 3 3" xfId="22525" xr:uid="{26599795-3E04-44D1-8545-5F567EB5626C}"/>
    <cellStyle name="Normal 5 2 3 3 4 4" xfId="9860" xr:uid="{D1E52C37-EBB5-4C81-B18D-6D5163E8C946}"/>
    <cellStyle name="Normal 5 2 3 3 4 5" xfId="18308" xr:uid="{E8F3D624-2582-43B1-946D-65156676363D}"/>
    <cellStyle name="Normal 5 2 3 3 5" xfId="1734" xr:uid="{00000000-0005-0000-0000-0000A1180000}"/>
    <cellStyle name="Normal 5 2 3 3 5 2" xfId="3964" xr:uid="{00000000-0005-0000-0000-0000A2180000}"/>
    <cellStyle name="Normal 5 2 3 3 5 2 2" xfId="8186" xr:uid="{00000000-0005-0000-0000-0000A3180000}"/>
    <cellStyle name="Normal 5 2 3 3 5 2 2 2" xfId="16636" xr:uid="{F8B934E0-E45A-4FB5-822F-9FADF3D72B92}"/>
    <cellStyle name="Normal 5 2 3 3 5 2 2 3" xfId="25083" xr:uid="{4CA475ED-497A-49EC-9BB2-E710E3F09663}"/>
    <cellStyle name="Normal 5 2 3 3 5 2 3" xfId="12418" xr:uid="{2B2E7EA7-C489-4E17-8244-E4A8D3652843}"/>
    <cellStyle name="Normal 5 2 3 3 5 2 4" xfId="20866" xr:uid="{81F450BD-5671-402B-897E-E7E28015622A}"/>
    <cellStyle name="Normal 5 2 3 3 5 3" xfId="6041" xr:uid="{00000000-0005-0000-0000-0000A4180000}"/>
    <cellStyle name="Normal 5 2 3 3 5 3 2" xfId="14491" xr:uid="{B162EB22-C1B3-4E68-A769-DFAF5849DC8B}"/>
    <cellStyle name="Normal 5 2 3 3 5 3 3" xfId="22938" xr:uid="{E761144C-CC31-40DA-B28B-C3091C8760BA}"/>
    <cellStyle name="Normal 5 2 3 3 5 4" xfId="10273" xr:uid="{089BD569-0B33-48D5-88BA-A2F2738D6C63}"/>
    <cellStyle name="Normal 5 2 3 3 5 5" xfId="18721" xr:uid="{156E8A91-D03E-4D42-AA90-264AAAF460C5}"/>
    <cellStyle name="Normal 5 2 3 3 6" xfId="2148" xr:uid="{00000000-0005-0000-0000-0000A5180000}"/>
    <cellStyle name="Normal 5 2 3 3 6 2" xfId="4377" xr:uid="{00000000-0005-0000-0000-0000A6180000}"/>
    <cellStyle name="Normal 5 2 3 3 6 2 2" xfId="8599" xr:uid="{00000000-0005-0000-0000-0000A7180000}"/>
    <cellStyle name="Normal 5 2 3 3 6 2 2 2" xfId="17049" xr:uid="{49303A12-F4B7-4CA7-8C69-CEECCF844ADD}"/>
    <cellStyle name="Normal 5 2 3 3 6 2 2 3" xfId="25496" xr:uid="{DDDD3C2E-37C3-471C-B944-AD579962F8EF}"/>
    <cellStyle name="Normal 5 2 3 3 6 2 3" xfId="12831" xr:uid="{B321C114-C74D-4826-852E-4F6949B48F11}"/>
    <cellStyle name="Normal 5 2 3 3 6 2 4" xfId="21279" xr:uid="{3A202741-37DA-41CA-B4BA-25ED71F7A6E3}"/>
    <cellStyle name="Normal 5 2 3 3 6 3" xfId="6454" xr:uid="{00000000-0005-0000-0000-0000A8180000}"/>
    <cellStyle name="Normal 5 2 3 3 6 3 2" xfId="14904" xr:uid="{323CF60E-7557-4C88-B156-823B10B59FA9}"/>
    <cellStyle name="Normal 5 2 3 3 6 3 3" xfId="23351" xr:uid="{890EA75F-00CC-44FE-B2A8-C9E81C682256}"/>
    <cellStyle name="Normal 5 2 3 3 6 4" xfId="10686" xr:uid="{2EA0D0F7-C655-4FF0-B643-30DA8B5EDBB8}"/>
    <cellStyle name="Normal 5 2 3 3 6 5" xfId="19134" xr:uid="{97688E2A-0E39-44CC-BF37-19CC8D0F9FE2}"/>
    <cellStyle name="Normal 5 2 3 3 7" xfId="2584" xr:uid="{00000000-0005-0000-0000-0000A9180000}"/>
    <cellStyle name="Normal 5 2 3 3 7 2" xfId="6867" xr:uid="{00000000-0005-0000-0000-0000AA180000}"/>
    <cellStyle name="Normal 5 2 3 3 7 2 2" xfId="15317" xr:uid="{1906C9D0-D7BD-4C58-B0F2-7DB80FF61F24}"/>
    <cellStyle name="Normal 5 2 3 3 7 2 3" xfId="23764" xr:uid="{05F2AADA-98A5-4FFA-991A-DBDB81DD1E2E}"/>
    <cellStyle name="Normal 5 2 3 3 7 3" xfId="11099" xr:uid="{DC57A87A-6B3F-464E-AA9F-04FB4C11679C}"/>
    <cellStyle name="Normal 5 2 3 3 7 4" xfId="19547" xr:uid="{FFA7C7A3-3B69-477E-8BC6-A808785D0791}"/>
    <cellStyle name="Normal 5 2 3 3 8" xfId="4802" xr:uid="{00000000-0005-0000-0000-0000AB180000}"/>
    <cellStyle name="Normal 5 2 3 3 8 2" xfId="13252" xr:uid="{C33F47D1-9A3B-48CF-B096-378FB379E33A}"/>
    <cellStyle name="Normal 5 2 3 3 8 3" xfId="21699" xr:uid="{9BD98923-2C83-4458-AE55-9DA86525E3CE}"/>
    <cellStyle name="Normal 5 2 3 3 9" xfId="9034" xr:uid="{50D6AF4B-7229-4474-A8FB-0D9B921A74BE}"/>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2 2 2" xfId="15812" xr:uid="{A461D526-B3F8-42A0-82F3-C9DC6C88AFC2}"/>
    <cellStyle name="Normal 5 2 3 4 2 2 2 3" xfId="24259" xr:uid="{90A00769-22EC-4E3B-A49B-064ADCFFDDA6}"/>
    <cellStyle name="Normal 5 2 3 4 2 2 3" xfId="11594" xr:uid="{ECB070FD-A2A1-4781-8429-5D333A124F67}"/>
    <cellStyle name="Normal 5 2 3 4 2 2 4" xfId="20042" xr:uid="{0BCD7D83-7E9D-4D17-BD51-4D95D019781D}"/>
    <cellStyle name="Normal 5 2 3 4 2 3" xfId="5217" xr:uid="{00000000-0005-0000-0000-0000B0180000}"/>
    <cellStyle name="Normal 5 2 3 4 2 3 2" xfId="13667" xr:uid="{E6E574E6-3321-46ED-AD83-2615D55DF8B3}"/>
    <cellStyle name="Normal 5 2 3 4 2 3 3" xfId="22114" xr:uid="{B8BBF51D-5063-4E9E-8906-7E508FDA29DA}"/>
    <cellStyle name="Normal 5 2 3 4 2 4" xfId="9449" xr:uid="{0876B549-7CE7-45BE-9493-9AA516667EF4}"/>
    <cellStyle name="Normal 5 2 3 4 2 5" xfId="17897" xr:uid="{B3507941-275F-4EA9-B135-96E652E9F45C}"/>
    <cellStyle name="Normal 5 2 3 4 3" xfId="1323" xr:uid="{00000000-0005-0000-0000-0000B1180000}"/>
    <cellStyle name="Normal 5 2 3 4 3 2" xfId="3553" xr:uid="{00000000-0005-0000-0000-0000B2180000}"/>
    <cellStyle name="Normal 5 2 3 4 3 2 2" xfId="7775" xr:uid="{00000000-0005-0000-0000-0000B3180000}"/>
    <cellStyle name="Normal 5 2 3 4 3 2 2 2" xfId="16225" xr:uid="{C46B6474-44BD-4D3D-B480-31D30CFC34FE}"/>
    <cellStyle name="Normal 5 2 3 4 3 2 2 3" xfId="24672" xr:uid="{1728B60F-1AC4-4715-8F57-CBD0EBAF92B5}"/>
    <cellStyle name="Normal 5 2 3 4 3 2 3" xfId="12007" xr:uid="{92B057E7-7892-444A-A990-C2736BFEBDC4}"/>
    <cellStyle name="Normal 5 2 3 4 3 2 4" xfId="20455" xr:uid="{3560106E-2A57-40C3-A42C-1E702BB3A621}"/>
    <cellStyle name="Normal 5 2 3 4 3 3" xfId="5630" xr:uid="{00000000-0005-0000-0000-0000B4180000}"/>
    <cellStyle name="Normal 5 2 3 4 3 3 2" xfId="14080" xr:uid="{4F91538A-9179-4152-903B-5C88E8315E53}"/>
    <cellStyle name="Normal 5 2 3 4 3 3 3" xfId="22527" xr:uid="{5D93CEED-7505-41E8-928B-4C45F0AF65AB}"/>
    <cellStyle name="Normal 5 2 3 4 3 4" xfId="9862" xr:uid="{AF9D2705-05D6-4571-8F7D-96EB6CFFE1A5}"/>
    <cellStyle name="Normal 5 2 3 4 3 5" xfId="18310" xr:uid="{D34E7916-C790-4D40-9019-01341FD54B24}"/>
    <cellStyle name="Normal 5 2 3 4 4" xfId="1736" xr:uid="{00000000-0005-0000-0000-0000B5180000}"/>
    <cellStyle name="Normal 5 2 3 4 4 2" xfId="3966" xr:uid="{00000000-0005-0000-0000-0000B6180000}"/>
    <cellStyle name="Normal 5 2 3 4 4 2 2" xfId="8188" xr:uid="{00000000-0005-0000-0000-0000B7180000}"/>
    <cellStyle name="Normal 5 2 3 4 4 2 2 2" xfId="16638" xr:uid="{267452DC-5469-467A-A0B4-5B469880C36E}"/>
    <cellStyle name="Normal 5 2 3 4 4 2 2 3" xfId="25085" xr:uid="{3BC5F995-5484-4585-BB7F-7B1FB7DC443F}"/>
    <cellStyle name="Normal 5 2 3 4 4 2 3" xfId="12420" xr:uid="{F5F92948-CDB6-4778-9495-9BCC2EE39A68}"/>
    <cellStyle name="Normal 5 2 3 4 4 2 4" xfId="20868" xr:uid="{EEA3AE46-A8CE-49F9-8CEE-D0AF1132D282}"/>
    <cellStyle name="Normal 5 2 3 4 4 3" xfId="6043" xr:uid="{00000000-0005-0000-0000-0000B8180000}"/>
    <cellStyle name="Normal 5 2 3 4 4 3 2" xfId="14493" xr:uid="{61A613C8-8647-43A3-B0E7-23536C33DF2C}"/>
    <cellStyle name="Normal 5 2 3 4 4 3 3" xfId="22940" xr:uid="{83A0ACE7-9087-43A7-8423-2E4285268C31}"/>
    <cellStyle name="Normal 5 2 3 4 4 4" xfId="10275" xr:uid="{E168053C-7943-434C-BEC9-3F7B634E436A}"/>
    <cellStyle name="Normal 5 2 3 4 4 5" xfId="18723" xr:uid="{CE1B70F6-FF32-4147-809B-77F5A770B0B9}"/>
    <cellStyle name="Normal 5 2 3 4 5" xfId="2150" xr:uid="{00000000-0005-0000-0000-0000B9180000}"/>
    <cellStyle name="Normal 5 2 3 4 5 2" xfId="4379" xr:uid="{00000000-0005-0000-0000-0000BA180000}"/>
    <cellStyle name="Normal 5 2 3 4 5 2 2" xfId="8601" xr:uid="{00000000-0005-0000-0000-0000BB180000}"/>
    <cellStyle name="Normal 5 2 3 4 5 2 2 2" xfId="17051" xr:uid="{827FEC62-2027-46A4-B2C8-0EA9758FF050}"/>
    <cellStyle name="Normal 5 2 3 4 5 2 2 3" xfId="25498" xr:uid="{3031F75D-252B-48E1-82FD-50F939FA8B49}"/>
    <cellStyle name="Normal 5 2 3 4 5 2 3" xfId="12833" xr:uid="{08AB38F3-4183-4BF1-948C-0DB99615A044}"/>
    <cellStyle name="Normal 5 2 3 4 5 2 4" xfId="21281" xr:uid="{6723EE2C-7AD2-4671-B2B6-0ADBB8850BA0}"/>
    <cellStyle name="Normal 5 2 3 4 5 3" xfId="6456" xr:uid="{00000000-0005-0000-0000-0000BC180000}"/>
    <cellStyle name="Normal 5 2 3 4 5 3 2" xfId="14906" xr:uid="{77AA4D49-3DB9-451F-96F8-5609A8E368F1}"/>
    <cellStyle name="Normal 5 2 3 4 5 3 3" xfId="23353" xr:uid="{26D450A7-B5D3-4F70-B16E-0DC438BE72FA}"/>
    <cellStyle name="Normal 5 2 3 4 5 4" xfId="10688" xr:uid="{544DAEF3-542E-4305-A65D-DBBC42563145}"/>
    <cellStyle name="Normal 5 2 3 4 5 5" xfId="19136" xr:uid="{8CCF60A2-CB60-4AC6-8DEF-B25AC11EA6A1}"/>
    <cellStyle name="Normal 5 2 3 4 6" xfId="2586" xr:uid="{00000000-0005-0000-0000-0000BD180000}"/>
    <cellStyle name="Normal 5 2 3 4 6 2" xfId="6869" xr:uid="{00000000-0005-0000-0000-0000BE180000}"/>
    <cellStyle name="Normal 5 2 3 4 6 2 2" xfId="15319" xr:uid="{EFE434F2-0FA8-43DE-912C-0B3C093A8242}"/>
    <cellStyle name="Normal 5 2 3 4 6 2 3" xfId="23766" xr:uid="{C6A0DB6B-7F4F-4E60-85AF-65272DD223F1}"/>
    <cellStyle name="Normal 5 2 3 4 6 3" xfId="11101" xr:uid="{76B4184F-239E-4E22-A9FA-E77AA773D8DC}"/>
    <cellStyle name="Normal 5 2 3 4 6 4" xfId="19549" xr:uid="{918749F5-BAE0-4598-9045-BA3AF31AF37E}"/>
    <cellStyle name="Normal 5 2 3 4 7" xfId="4804" xr:uid="{00000000-0005-0000-0000-0000BF180000}"/>
    <cellStyle name="Normal 5 2 3 4 7 2" xfId="13254" xr:uid="{382A0FF3-9F4E-417B-93F2-92702ADA7DA7}"/>
    <cellStyle name="Normal 5 2 3 4 7 3" xfId="21701" xr:uid="{059FB245-92CF-47D5-8DE3-F96738144B55}"/>
    <cellStyle name="Normal 5 2 3 4 8" xfId="9036" xr:uid="{4E60AC46-F9C3-4046-8B60-17F33B16CF76}"/>
    <cellStyle name="Normal 5 2 3 4 9" xfId="17484" xr:uid="{8B5E5C7F-0809-4A67-B3B4-43D4BE032E93}"/>
    <cellStyle name="Normal 5 2 3 5" xfId="898" xr:uid="{00000000-0005-0000-0000-0000C0180000}"/>
    <cellStyle name="Normal 5 2 3 5 2" xfId="3133" xr:uid="{00000000-0005-0000-0000-0000C1180000}"/>
    <cellStyle name="Normal 5 2 3 5 2 2" xfId="7355" xr:uid="{00000000-0005-0000-0000-0000C2180000}"/>
    <cellStyle name="Normal 5 2 3 5 2 2 2" xfId="15805" xr:uid="{E2F58ECE-EA6F-402F-BFE5-354D81214B0A}"/>
    <cellStyle name="Normal 5 2 3 5 2 2 3" xfId="24252" xr:uid="{FB1F5F53-84CA-4558-A554-E15FD3B38207}"/>
    <cellStyle name="Normal 5 2 3 5 2 3" xfId="11587" xr:uid="{229B67B8-1C84-47BC-B730-D706989A1CB1}"/>
    <cellStyle name="Normal 5 2 3 5 2 4" xfId="20035" xr:uid="{8787504D-1C83-49F4-8AE6-D248C36405F2}"/>
    <cellStyle name="Normal 5 2 3 5 3" xfId="5210" xr:uid="{00000000-0005-0000-0000-0000C3180000}"/>
    <cellStyle name="Normal 5 2 3 5 3 2" xfId="13660" xr:uid="{091AFEF7-2839-466A-8387-8C9FE8101AAA}"/>
    <cellStyle name="Normal 5 2 3 5 3 3" xfId="22107" xr:uid="{E2140664-62C7-4A2C-B751-9BAA2E690FE2}"/>
    <cellStyle name="Normal 5 2 3 5 4" xfId="9442" xr:uid="{2B74D348-B8EC-4E39-8AA5-8F0E73B49D5F}"/>
    <cellStyle name="Normal 5 2 3 5 5" xfId="17890" xr:uid="{5BA1CF50-5497-4934-88A7-0D488B753154}"/>
    <cellStyle name="Normal 5 2 3 6" xfId="1316" xr:uid="{00000000-0005-0000-0000-0000C4180000}"/>
    <cellStyle name="Normal 5 2 3 6 2" xfId="3546" xr:uid="{00000000-0005-0000-0000-0000C5180000}"/>
    <cellStyle name="Normal 5 2 3 6 2 2" xfId="7768" xr:uid="{00000000-0005-0000-0000-0000C6180000}"/>
    <cellStyle name="Normal 5 2 3 6 2 2 2" xfId="16218" xr:uid="{8D4F7617-8A94-410D-9AE3-B52D61C28051}"/>
    <cellStyle name="Normal 5 2 3 6 2 2 3" xfId="24665" xr:uid="{610E7592-A213-4EA4-986A-175DBAB8D0FB}"/>
    <cellStyle name="Normal 5 2 3 6 2 3" xfId="12000" xr:uid="{FF83AE0C-B6EB-411A-B217-6A46684036A2}"/>
    <cellStyle name="Normal 5 2 3 6 2 4" xfId="20448" xr:uid="{D5ED23B6-6D34-467E-B98A-D2A96D818632}"/>
    <cellStyle name="Normal 5 2 3 6 3" xfId="5623" xr:uid="{00000000-0005-0000-0000-0000C7180000}"/>
    <cellStyle name="Normal 5 2 3 6 3 2" xfId="14073" xr:uid="{74AEC8DE-207D-4F20-A41B-BE9FA6DE8406}"/>
    <cellStyle name="Normal 5 2 3 6 3 3" xfId="22520" xr:uid="{85828F93-DC41-4274-87EA-F12B36960E7B}"/>
    <cellStyle name="Normal 5 2 3 6 4" xfId="9855" xr:uid="{61140114-EFD0-4ED7-A327-EC2D76115C2E}"/>
    <cellStyle name="Normal 5 2 3 6 5" xfId="18303" xr:uid="{03DF913D-BE89-4881-BA44-C341A37DBB88}"/>
    <cellStyle name="Normal 5 2 3 7" xfId="1729" xr:uid="{00000000-0005-0000-0000-0000C8180000}"/>
    <cellStyle name="Normal 5 2 3 7 2" xfId="3959" xr:uid="{00000000-0005-0000-0000-0000C9180000}"/>
    <cellStyle name="Normal 5 2 3 7 2 2" xfId="8181" xr:uid="{00000000-0005-0000-0000-0000CA180000}"/>
    <cellStyle name="Normal 5 2 3 7 2 2 2" xfId="16631" xr:uid="{9A05BAFB-554D-41D7-92AE-9B54492D04B9}"/>
    <cellStyle name="Normal 5 2 3 7 2 2 3" xfId="25078" xr:uid="{BFE8F130-31D3-46BF-B2D1-6119144CA55A}"/>
    <cellStyle name="Normal 5 2 3 7 2 3" xfId="12413" xr:uid="{60820D95-4FF6-4248-8369-D83861EDE04E}"/>
    <cellStyle name="Normal 5 2 3 7 2 4" xfId="20861" xr:uid="{B24034F4-A1AB-4EEE-8DF1-6E8A3E1A31AF}"/>
    <cellStyle name="Normal 5 2 3 7 3" xfId="6036" xr:uid="{00000000-0005-0000-0000-0000CB180000}"/>
    <cellStyle name="Normal 5 2 3 7 3 2" xfId="14486" xr:uid="{B758144F-3511-4598-AA59-76FEC312BEDE}"/>
    <cellStyle name="Normal 5 2 3 7 3 3" xfId="22933" xr:uid="{10A75991-7384-4E67-AD42-D6EFDDA22B69}"/>
    <cellStyle name="Normal 5 2 3 7 4" xfId="10268" xr:uid="{3E11AB94-F2EC-499D-B5E4-9EE3E7934547}"/>
    <cellStyle name="Normal 5 2 3 7 5" xfId="18716" xr:uid="{441548A7-0333-423E-9827-4E93F5999274}"/>
    <cellStyle name="Normal 5 2 3 8" xfId="2143" xr:uid="{00000000-0005-0000-0000-0000CC180000}"/>
    <cellStyle name="Normal 5 2 3 8 2" xfId="4372" xr:uid="{00000000-0005-0000-0000-0000CD180000}"/>
    <cellStyle name="Normal 5 2 3 8 2 2" xfId="8594" xr:uid="{00000000-0005-0000-0000-0000CE180000}"/>
    <cellStyle name="Normal 5 2 3 8 2 2 2" xfId="17044" xr:uid="{E11E6FF4-62EA-43E4-89BE-629B70B6274C}"/>
    <cellStyle name="Normal 5 2 3 8 2 2 3" xfId="25491" xr:uid="{9A6C55C9-FA8D-4F99-970C-529ED0CF6117}"/>
    <cellStyle name="Normal 5 2 3 8 2 3" xfId="12826" xr:uid="{7A6F09AA-086E-4357-8653-B0A22EBCD1FB}"/>
    <cellStyle name="Normal 5 2 3 8 2 4" xfId="21274" xr:uid="{F03926E6-5B61-4103-AB9F-B733872867E5}"/>
    <cellStyle name="Normal 5 2 3 8 3" xfId="6449" xr:uid="{00000000-0005-0000-0000-0000CF180000}"/>
    <cellStyle name="Normal 5 2 3 8 3 2" xfId="14899" xr:uid="{A4640DA7-1262-4880-8AC8-C9DB2746BF4E}"/>
    <cellStyle name="Normal 5 2 3 8 3 3" xfId="23346" xr:uid="{78EE30EC-1305-4FA6-9C7B-62F51D312660}"/>
    <cellStyle name="Normal 5 2 3 8 4" xfId="10681" xr:uid="{805C979B-0794-4311-A6AA-BD8AD62F6E28}"/>
    <cellStyle name="Normal 5 2 3 8 5" xfId="19129" xr:uid="{F848D26A-C993-4724-9ECD-0E5BFF8B6FAC}"/>
    <cellStyle name="Normal 5 2 3 9" xfId="2579" xr:uid="{00000000-0005-0000-0000-0000D0180000}"/>
    <cellStyle name="Normal 5 2 3 9 2" xfId="6862" xr:uid="{00000000-0005-0000-0000-0000D1180000}"/>
    <cellStyle name="Normal 5 2 3 9 2 2" xfId="15312" xr:uid="{67BA614B-FB69-4127-8771-3DAA6190CFEF}"/>
    <cellStyle name="Normal 5 2 3 9 2 3" xfId="23759" xr:uid="{C895B11A-D2A2-4D10-BC6A-C0D2D45E4742}"/>
    <cellStyle name="Normal 5 2 3 9 3" xfId="11094" xr:uid="{5839D2D7-007F-4BB5-9F55-F42C1F2BB262}"/>
    <cellStyle name="Normal 5 2 3 9 4" xfId="19542" xr:uid="{229FB559-3A3B-40B4-9F1C-9BB25AEA8401}"/>
    <cellStyle name="Normal 5 2 4" xfId="432" xr:uid="{00000000-0005-0000-0000-0000D2180000}"/>
    <cellStyle name="Normal 5 2 4 10" xfId="9037" xr:uid="{2998722D-56C1-45DE-9055-DD791D60EA16}"/>
    <cellStyle name="Normal 5 2 4 11" xfId="17485" xr:uid="{CCAC59BD-8E7E-4A37-B6CC-EC76BB906E7B}"/>
    <cellStyle name="Normal 5 2 4 2" xfId="433" xr:uid="{00000000-0005-0000-0000-0000D3180000}"/>
    <cellStyle name="Normal 5 2 4 2 10" xfId="17486" xr:uid="{400D57B2-A023-49D1-8BF4-23F1FEE04354}"/>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2 2 2" xfId="15815" xr:uid="{42EB1412-33BA-44C1-935D-0643E04171EF}"/>
    <cellStyle name="Normal 5 2 4 2 2 2 2 2 3" xfId="24262" xr:uid="{74F60047-4674-45A0-975E-C30822F5D2F4}"/>
    <cellStyle name="Normal 5 2 4 2 2 2 2 3" xfId="11597" xr:uid="{BD22554C-3E9B-49A7-A7A8-1322BCC0B170}"/>
    <cellStyle name="Normal 5 2 4 2 2 2 2 4" xfId="20045" xr:uid="{A7D3AEA1-450B-4D7E-9B04-889230D34F40}"/>
    <cellStyle name="Normal 5 2 4 2 2 2 3" xfId="5220" xr:uid="{00000000-0005-0000-0000-0000D8180000}"/>
    <cellStyle name="Normal 5 2 4 2 2 2 3 2" xfId="13670" xr:uid="{CD4FE153-D62B-4A9C-A161-3974ACD3FCB8}"/>
    <cellStyle name="Normal 5 2 4 2 2 2 3 3" xfId="22117" xr:uid="{7B238837-C934-4E6D-81E4-56315F58F430}"/>
    <cellStyle name="Normal 5 2 4 2 2 2 4" xfId="9452" xr:uid="{05867821-5100-4282-AC7A-2D6E128A7D95}"/>
    <cellStyle name="Normal 5 2 4 2 2 2 5" xfId="17900" xr:uid="{C7CEC968-F43F-40EE-A6B8-472E8BC239A6}"/>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2 2 2" xfId="16228" xr:uid="{DD8BAA08-9301-4E48-B250-A42FCF6FC2EE}"/>
    <cellStyle name="Normal 5 2 4 2 2 3 2 2 3" xfId="24675" xr:uid="{53B1521D-A6E1-4FC7-8DA8-9B8F081D3960}"/>
    <cellStyle name="Normal 5 2 4 2 2 3 2 3" xfId="12010" xr:uid="{1C5A2627-36BE-4890-B089-D42836789763}"/>
    <cellStyle name="Normal 5 2 4 2 2 3 2 4" xfId="20458" xr:uid="{B7537A54-1B94-441C-8737-25ED2B26AFFE}"/>
    <cellStyle name="Normal 5 2 4 2 2 3 3" xfId="5633" xr:uid="{00000000-0005-0000-0000-0000DC180000}"/>
    <cellStyle name="Normal 5 2 4 2 2 3 3 2" xfId="14083" xr:uid="{61F2B37F-D66F-4EDC-BEAF-BBE78A54B6F7}"/>
    <cellStyle name="Normal 5 2 4 2 2 3 3 3" xfId="22530" xr:uid="{4C33CFEE-0D76-42ED-8985-7E03A40FD303}"/>
    <cellStyle name="Normal 5 2 4 2 2 3 4" xfId="9865" xr:uid="{47D75FC1-6F8C-4E8D-B4B4-0C06E8B5B215}"/>
    <cellStyle name="Normal 5 2 4 2 2 3 5" xfId="18313" xr:uid="{5826161C-D6C3-4E4B-B5D4-99710AD40FFC}"/>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2 2 2" xfId="16641" xr:uid="{D9F06A40-6017-45E3-B413-A6220D8360F1}"/>
    <cellStyle name="Normal 5 2 4 2 2 4 2 2 3" xfId="25088" xr:uid="{70B3468D-BE62-4D1B-8738-C01C97C4DA74}"/>
    <cellStyle name="Normal 5 2 4 2 2 4 2 3" xfId="12423" xr:uid="{7EE1BE86-DEAF-4784-9FD9-5C59789D8265}"/>
    <cellStyle name="Normal 5 2 4 2 2 4 2 4" xfId="20871" xr:uid="{2DE2C0B8-8CEA-40C6-AC7B-4B9F191EF4FD}"/>
    <cellStyle name="Normal 5 2 4 2 2 4 3" xfId="6046" xr:uid="{00000000-0005-0000-0000-0000E0180000}"/>
    <cellStyle name="Normal 5 2 4 2 2 4 3 2" xfId="14496" xr:uid="{337F60B8-52EB-40D0-BB98-656084500DD1}"/>
    <cellStyle name="Normal 5 2 4 2 2 4 3 3" xfId="22943" xr:uid="{6272C204-AD30-462A-89E8-F6D8EA693A89}"/>
    <cellStyle name="Normal 5 2 4 2 2 4 4" xfId="10278" xr:uid="{A8776CAB-7D67-495A-9F4B-E978BD05B506}"/>
    <cellStyle name="Normal 5 2 4 2 2 4 5" xfId="18726" xr:uid="{27F9C371-BE8E-4113-88F2-5291E501E4EC}"/>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2 2 2" xfId="17054" xr:uid="{59E98402-F3EB-4274-8D38-72B6D1E3AE77}"/>
    <cellStyle name="Normal 5 2 4 2 2 5 2 2 3" xfId="25501" xr:uid="{FC1573F1-24E2-4B6C-9CE2-EF8B9CA56C7C}"/>
    <cellStyle name="Normal 5 2 4 2 2 5 2 3" xfId="12836" xr:uid="{522207A5-DBEB-4353-8A57-48808623AC4E}"/>
    <cellStyle name="Normal 5 2 4 2 2 5 2 4" xfId="21284" xr:uid="{09D24E64-19D6-4A19-8770-169A3DABBBE1}"/>
    <cellStyle name="Normal 5 2 4 2 2 5 3" xfId="6459" xr:uid="{00000000-0005-0000-0000-0000E4180000}"/>
    <cellStyle name="Normal 5 2 4 2 2 5 3 2" xfId="14909" xr:uid="{98228C0E-B787-4AA5-AD23-0F80797269FB}"/>
    <cellStyle name="Normal 5 2 4 2 2 5 3 3" xfId="23356" xr:uid="{88F61739-768F-4642-9721-7C049AE1D4E0}"/>
    <cellStyle name="Normal 5 2 4 2 2 5 4" xfId="10691" xr:uid="{FD9C5CFA-56DE-444B-93D7-084B6EDA2A44}"/>
    <cellStyle name="Normal 5 2 4 2 2 5 5" xfId="19139" xr:uid="{E8131BD8-0A45-43F3-8AC4-042A5EDD80EC}"/>
    <cellStyle name="Normal 5 2 4 2 2 6" xfId="2589" xr:uid="{00000000-0005-0000-0000-0000E5180000}"/>
    <cellStyle name="Normal 5 2 4 2 2 6 2" xfId="6872" xr:uid="{00000000-0005-0000-0000-0000E6180000}"/>
    <cellStyle name="Normal 5 2 4 2 2 6 2 2" xfId="15322" xr:uid="{CD4FE7D5-C5AB-4BC5-BB91-5C7A8563FEA0}"/>
    <cellStyle name="Normal 5 2 4 2 2 6 2 3" xfId="23769" xr:uid="{9BD5FB54-F35D-4311-929B-10C2F45BBCB0}"/>
    <cellStyle name="Normal 5 2 4 2 2 6 3" xfId="11104" xr:uid="{86F1A761-1FC9-4D54-8E10-5CCD1A9C04D4}"/>
    <cellStyle name="Normal 5 2 4 2 2 6 4" xfId="19552" xr:uid="{D9ACD845-97AD-4DBF-BCC3-719CBDA4FF2D}"/>
    <cellStyle name="Normal 5 2 4 2 2 7" xfId="4807" xr:uid="{00000000-0005-0000-0000-0000E7180000}"/>
    <cellStyle name="Normal 5 2 4 2 2 7 2" xfId="13257" xr:uid="{66F76133-9091-469D-976C-04E733AEA7D1}"/>
    <cellStyle name="Normal 5 2 4 2 2 7 3" xfId="21704" xr:uid="{6653096F-EE58-484D-8690-86C4BB3842AE}"/>
    <cellStyle name="Normal 5 2 4 2 2 8" xfId="9039" xr:uid="{825260CF-3C92-4BF8-B520-C2241E9F317A}"/>
    <cellStyle name="Normal 5 2 4 2 2 9" xfId="17487" xr:uid="{E78C0444-518C-4886-8814-02D2741D23BA}"/>
    <cellStyle name="Normal 5 2 4 2 3" xfId="907" xr:uid="{00000000-0005-0000-0000-0000E8180000}"/>
    <cellStyle name="Normal 5 2 4 2 3 2" xfId="3142" xr:uid="{00000000-0005-0000-0000-0000E9180000}"/>
    <cellStyle name="Normal 5 2 4 2 3 2 2" xfId="7364" xr:uid="{00000000-0005-0000-0000-0000EA180000}"/>
    <cellStyle name="Normal 5 2 4 2 3 2 2 2" xfId="15814" xr:uid="{94188BF3-A3FF-484F-AFA6-75B497BD8290}"/>
    <cellStyle name="Normal 5 2 4 2 3 2 2 3" xfId="24261" xr:uid="{7B92AF41-F6C9-4F31-86DE-D0540BC5512D}"/>
    <cellStyle name="Normal 5 2 4 2 3 2 3" xfId="11596" xr:uid="{3905F5ED-83A1-4CA4-AF32-A1A4317C3FB9}"/>
    <cellStyle name="Normal 5 2 4 2 3 2 4" xfId="20044" xr:uid="{247E40BC-E664-4E57-8E60-30D119F75F01}"/>
    <cellStyle name="Normal 5 2 4 2 3 3" xfId="5219" xr:uid="{00000000-0005-0000-0000-0000EB180000}"/>
    <cellStyle name="Normal 5 2 4 2 3 3 2" xfId="13669" xr:uid="{D302CFDA-12AA-438A-84AC-6452E8768F2B}"/>
    <cellStyle name="Normal 5 2 4 2 3 3 3" xfId="22116" xr:uid="{8319CC73-9117-4FE1-87A9-AC5321AE37A8}"/>
    <cellStyle name="Normal 5 2 4 2 3 4" xfId="9451" xr:uid="{6A7FEAE7-E8E8-4CDF-AF34-F62C07F5C63E}"/>
    <cellStyle name="Normal 5 2 4 2 3 5" xfId="17899" xr:uid="{A22EAA1F-EFC7-4181-9677-49BFB62B7D1A}"/>
    <cellStyle name="Normal 5 2 4 2 4" xfId="1325" xr:uid="{00000000-0005-0000-0000-0000EC180000}"/>
    <cellStyle name="Normal 5 2 4 2 4 2" xfId="3555" xr:uid="{00000000-0005-0000-0000-0000ED180000}"/>
    <cellStyle name="Normal 5 2 4 2 4 2 2" xfId="7777" xr:uid="{00000000-0005-0000-0000-0000EE180000}"/>
    <cellStyle name="Normal 5 2 4 2 4 2 2 2" xfId="16227" xr:uid="{B03E613A-EC0F-4941-B145-AA0BF4C85173}"/>
    <cellStyle name="Normal 5 2 4 2 4 2 2 3" xfId="24674" xr:uid="{6FCAA72B-D8CB-4439-AE74-A405C6A36F20}"/>
    <cellStyle name="Normal 5 2 4 2 4 2 3" xfId="12009" xr:uid="{7EF7F738-3754-469E-B580-1BC619F85552}"/>
    <cellStyle name="Normal 5 2 4 2 4 2 4" xfId="20457" xr:uid="{CBFF7780-AF71-40DF-89F8-7ADE67C526E2}"/>
    <cellStyle name="Normal 5 2 4 2 4 3" xfId="5632" xr:uid="{00000000-0005-0000-0000-0000EF180000}"/>
    <cellStyle name="Normal 5 2 4 2 4 3 2" xfId="14082" xr:uid="{87569680-4122-41D6-B9A0-240CF3AFC661}"/>
    <cellStyle name="Normal 5 2 4 2 4 3 3" xfId="22529" xr:uid="{1B9D33D4-25B0-447C-934A-2F935CD6208C}"/>
    <cellStyle name="Normal 5 2 4 2 4 4" xfId="9864" xr:uid="{9A21FC60-D142-4ABA-B713-29379143DC8B}"/>
    <cellStyle name="Normal 5 2 4 2 4 5" xfId="18312" xr:uid="{E307BDFA-9BFC-459D-84FD-6E8CD88B4844}"/>
    <cellStyle name="Normal 5 2 4 2 5" xfId="1738" xr:uid="{00000000-0005-0000-0000-0000F0180000}"/>
    <cellStyle name="Normal 5 2 4 2 5 2" xfId="3968" xr:uid="{00000000-0005-0000-0000-0000F1180000}"/>
    <cellStyle name="Normal 5 2 4 2 5 2 2" xfId="8190" xr:uid="{00000000-0005-0000-0000-0000F2180000}"/>
    <cellStyle name="Normal 5 2 4 2 5 2 2 2" xfId="16640" xr:uid="{FF5A2B5F-2AF0-44B5-A090-71F402E028E8}"/>
    <cellStyle name="Normal 5 2 4 2 5 2 2 3" xfId="25087" xr:uid="{C194609F-67EF-4CC3-BF7C-CCA35B201921}"/>
    <cellStyle name="Normal 5 2 4 2 5 2 3" xfId="12422" xr:uid="{345E1532-A2BD-459B-88D2-3BD56EF11CB6}"/>
    <cellStyle name="Normal 5 2 4 2 5 2 4" xfId="20870" xr:uid="{01F0B8DD-E262-49C9-B899-F24DF2C81F80}"/>
    <cellStyle name="Normal 5 2 4 2 5 3" xfId="6045" xr:uid="{00000000-0005-0000-0000-0000F3180000}"/>
    <cellStyle name="Normal 5 2 4 2 5 3 2" xfId="14495" xr:uid="{63CD6A60-A3AD-473A-90EF-5FCA27C7E295}"/>
    <cellStyle name="Normal 5 2 4 2 5 3 3" xfId="22942" xr:uid="{179421FA-1EDD-4F74-A11D-1E38E0D605E4}"/>
    <cellStyle name="Normal 5 2 4 2 5 4" xfId="10277" xr:uid="{E9CC3CDB-DD7B-43F4-88A4-CE56B13CD6BA}"/>
    <cellStyle name="Normal 5 2 4 2 5 5" xfId="18725" xr:uid="{82DB03A1-82E4-4A3A-BAF6-641D9FF90C0A}"/>
    <cellStyle name="Normal 5 2 4 2 6" xfId="2152" xr:uid="{00000000-0005-0000-0000-0000F4180000}"/>
    <cellStyle name="Normal 5 2 4 2 6 2" xfId="4381" xr:uid="{00000000-0005-0000-0000-0000F5180000}"/>
    <cellStyle name="Normal 5 2 4 2 6 2 2" xfId="8603" xr:uid="{00000000-0005-0000-0000-0000F6180000}"/>
    <cellStyle name="Normal 5 2 4 2 6 2 2 2" xfId="17053" xr:uid="{375097AD-5031-4153-AFA4-1E37EBC2FDBE}"/>
    <cellStyle name="Normal 5 2 4 2 6 2 2 3" xfId="25500" xr:uid="{A2F4643F-ECF3-4AEF-81F4-DCF434752C0F}"/>
    <cellStyle name="Normal 5 2 4 2 6 2 3" xfId="12835" xr:uid="{DAC0AA6D-992D-4E55-B646-FBC668BA4EC3}"/>
    <cellStyle name="Normal 5 2 4 2 6 2 4" xfId="21283" xr:uid="{A779F7C4-CB13-4CF2-A040-EB30D501247B}"/>
    <cellStyle name="Normal 5 2 4 2 6 3" xfId="6458" xr:uid="{00000000-0005-0000-0000-0000F7180000}"/>
    <cellStyle name="Normal 5 2 4 2 6 3 2" xfId="14908" xr:uid="{42E0B832-6ECD-4EF4-9BE8-EA70EF94F9A5}"/>
    <cellStyle name="Normal 5 2 4 2 6 3 3" xfId="23355" xr:uid="{2B0611DF-0EB6-4C79-A943-DDF19C1D4409}"/>
    <cellStyle name="Normal 5 2 4 2 6 4" xfId="10690" xr:uid="{CBD5846E-BF9A-401D-A069-8D0B951B3B51}"/>
    <cellStyle name="Normal 5 2 4 2 6 5" xfId="19138" xr:uid="{16D1D7FD-3E15-43A0-89D1-33946199FC7C}"/>
    <cellStyle name="Normal 5 2 4 2 7" xfId="2588" xr:uid="{00000000-0005-0000-0000-0000F8180000}"/>
    <cellStyle name="Normal 5 2 4 2 7 2" xfId="6871" xr:uid="{00000000-0005-0000-0000-0000F9180000}"/>
    <cellStyle name="Normal 5 2 4 2 7 2 2" xfId="15321" xr:uid="{79FEC600-3C6A-4CC6-A10A-F1DE8378DD81}"/>
    <cellStyle name="Normal 5 2 4 2 7 2 3" xfId="23768" xr:uid="{8BF23114-689D-43C2-A5F9-E636A9EAFC73}"/>
    <cellStyle name="Normal 5 2 4 2 7 3" xfId="11103" xr:uid="{E4CD36A7-47D7-40A0-B7FE-5F7A41354E29}"/>
    <cellStyle name="Normal 5 2 4 2 7 4" xfId="19551" xr:uid="{D0711B0F-0927-452D-A7EA-53F62F564E2A}"/>
    <cellStyle name="Normal 5 2 4 2 8" xfId="4806" xr:uid="{00000000-0005-0000-0000-0000FA180000}"/>
    <cellStyle name="Normal 5 2 4 2 8 2" xfId="13256" xr:uid="{AA9A93B1-11CF-4A60-8804-E2A47084E047}"/>
    <cellStyle name="Normal 5 2 4 2 8 3" xfId="21703" xr:uid="{26192187-C7E4-422E-B05C-10D80BE3C919}"/>
    <cellStyle name="Normal 5 2 4 2 9" xfId="9038" xr:uid="{0D4B97E0-0AFD-4E53-8569-37FC3DBEF079}"/>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2 2 2" xfId="15816" xr:uid="{22534CC2-F3D4-4D73-96D5-E2437662D3BD}"/>
    <cellStyle name="Normal 5 2 4 3 2 2 2 3" xfId="24263" xr:uid="{F37CFAAA-9B62-4223-AB47-E8502C443A77}"/>
    <cellStyle name="Normal 5 2 4 3 2 2 3" xfId="11598" xr:uid="{0594D2AE-221D-4F1C-A8D8-020DBA471CE8}"/>
    <cellStyle name="Normal 5 2 4 3 2 2 4" xfId="20046" xr:uid="{3BC22488-5B89-43FA-8BF8-88D2B389DED1}"/>
    <cellStyle name="Normal 5 2 4 3 2 3" xfId="5221" xr:uid="{00000000-0005-0000-0000-0000FF180000}"/>
    <cellStyle name="Normal 5 2 4 3 2 3 2" xfId="13671" xr:uid="{684425EC-44BA-4100-99B1-2517DA3536F2}"/>
    <cellStyle name="Normal 5 2 4 3 2 3 3" xfId="22118" xr:uid="{7246B86B-406E-455D-9D31-6B80633B3829}"/>
    <cellStyle name="Normal 5 2 4 3 2 4" xfId="9453" xr:uid="{009B119B-13AE-42B2-B0D7-793984216F84}"/>
    <cellStyle name="Normal 5 2 4 3 2 5" xfId="17901" xr:uid="{F613260E-6F5C-4F7E-B8E1-88251A42CD03}"/>
    <cellStyle name="Normal 5 2 4 3 3" xfId="1327" xr:uid="{00000000-0005-0000-0000-000000190000}"/>
    <cellStyle name="Normal 5 2 4 3 3 2" xfId="3557" xr:uid="{00000000-0005-0000-0000-000001190000}"/>
    <cellStyle name="Normal 5 2 4 3 3 2 2" xfId="7779" xr:uid="{00000000-0005-0000-0000-000002190000}"/>
    <cellStyle name="Normal 5 2 4 3 3 2 2 2" xfId="16229" xr:uid="{557B80F2-4E05-44FD-99A5-EE5809E67097}"/>
    <cellStyle name="Normal 5 2 4 3 3 2 2 3" xfId="24676" xr:uid="{5730B51A-D09A-4662-9C49-6BCD44C10FC6}"/>
    <cellStyle name="Normal 5 2 4 3 3 2 3" xfId="12011" xr:uid="{FFDD6F9B-C17D-429B-8A63-AAEED3E1A48E}"/>
    <cellStyle name="Normal 5 2 4 3 3 2 4" xfId="20459" xr:uid="{D5FE558D-83B4-4402-BDC0-875CF1B6ED23}"/>
    <cellStyle name="Normal 5 2 4 3 3 3" xfId="5634" xr:uid="{00000000-0005-0000-0000-000003190000}"/>
    <cellStyle name="Normal 5 2 4 3 3 3 2" xfId="14084" xr:uid="{6B8B788D-C4B3-4C8D-9F40-A8A43C984D7E}"/>
    <cellStyle name="Normal 5 2 4 3 3 3 3" xfId="22531" xr:uid="{E359065E-A03D-4FDD-BCD0-FDDA4856DEB9}"/>
    <cellStyle name="Normal 5 2 4 3 3 4" xfId="9866" xr:uid="{D2A60021-96A9-4294-A908-ABE2826F072C}"/>
    <cellStyle name="Normal 5 2 4 3 3 5" xfId="18314" xr:uid="{2555FDC0-0E4F-41A8-8123-8FA294CD39EF}"/>
    <cellStyle name="Normal 5 2 4 3 4" xfId="1740" xr:uid="{00000000-0005-0000-0000-000004190000}"/>
    <cellStyle name="Normal 5 2 4 3 4 2" xfId="3970" xr:uid="{00000000-0005-0000-0000-000005190000}"/>
    <cellStyle name="Normal 5 2 4 3 4 2 2" xfId="8192" xr:uid="{00000000-0005-0000-0000-000006190000}"/>
    <cellStyle name="Normal 5 2 4 3 4 2 2 2" xfId="16642" xr:uid="{8648AFBE-3F1E-4233-A984-11302D2B9C49}"/>
    <cellStyle name="Normal 5 2 4 3 4 2 2 3" xfId="25089" xr:uid="{C6285A47-583A-41B8-905A-D7E828C7E4E8}"/>
    <cellStyle name="Normal 5 2 4 3 4 2 3" xfId="12424" xr:uid="{BF309116-B4C2-4482-8C6E-5299B8C6F0B3}"/>
    <cellStyle name="Normal 5 2 4 3 4 2 4" xfId="20872" xr:uid="{77308E9F-3BA9-4F95-864E-DA90FC2FDA21}"/>
    <cellStyle name="Normal 5 2 4 3 4 3" xfId="6047" xr:uid="{00000000-0005-0000-0000-000007190000}"/>
    <cellStyle name="Normal 5 2 4 3 4 3 2" xfId="14497" xr:uid="{8758C26C-6CEF-425C-82BD-E4727733D664}"/>
    <cellStyle name="Normal 5 2 4 3 4 3 3" xfId="22944" xr:uid="{46ADFD38-939D-4DD4-A9E3-C15E6B6D6A58}"/>
    <cellStyle name="Normal 5 2 4 3 4 4" xfId="10279" xr:uid="{A6319B5C-1318-40E9-9832-43BD076C867D}"/>
    <cellStyle name="Normal 5 2 4 3 4 5" xfId="18727" xr:uid="{D0407E36-F55B-46B0-B455-8EEEC532414A}"/>
    <cellStyle name="Normal 5 2 4 3 5" xfId="2154" xr:uid="{00000000-0005-0000-0000-000008190000}"/>
    <cellStyle name="Normal 5 2 4 3 5 2" xfId="4383" xr:uid="{00000000-0005-0000-0000-000009190000}"/>
    <cellStyle name="Normal 5 2 4 3 5 2 2" xfId="8605" xr:uid="{00000000-0005-0000-0000-00000A190000}"/>
    <cellStyle name="Normal 5 2 4 3 5 2 2 2" xfId="17055" xr:uid="{00C69EB4-4C8C-4BB7-ADF5-1343D01F9ED4}"/>
    <cellStyle name="Normal 5 2 4 3 5 2 2 3" xfId="25502" xr:uid="{42D1FE13-92FB-4F21-B84C-D07A14C1D5F1}"/>
    <cellStyle name="Normal 5 2 4 3 5 2 3" xfId="12837" xr:uid="{133614E1-37D5-4B1F-8895-0E940512C4B1}"/>
    <cellStyle name="Normal 5 2 4 3 5 2 4" xfId="21285" xr:uid="{0C87A92A-18A9-4BCE-B182-74AA18859467}"/>
    <cellStyle name="Normal 5 2 4 3 5 3" xfId="6460" xr:uid="{00000000-0005-0000-0000-00000B190000}"/>
    <cellStyle name="Normal 5 2 4 3 5 3 2" xfId="14910" xr:uid="{572CC1F3-F4A9-4FD0-BE68-63DCD5104FDC}"/>
    <cellStyle name="Normal 5 2 4 3 5 3 3" xfId="23357" xr:uid="{2A59C5CF-F4AD-4B85-BA39-32AB2B7E0355}"/>
    <cellStyle name="Normal 5 2 4 3 5 4" xfId="10692" xr:uid="{EA8D9878-8E91-407A-ADC8-87035B9B7CC5}"/>
    <cellStyle name="Normal 5 2 4 3 5 5" xfId="19140" xr:uid="{05916941-2AE5-4F45-B658-1C555C9777ED}"/>
    <cellStyle name="Normal 5 2 4 3 6" xfId="2590" xr:uid="{00000000-0005-0000-0000-00000C190000}"/>
    <cellStyle name="Normal 5 2 4 3 6 2" xfId="6873" xr:uid="{00000000-0005-0000-0000-00000D190000}"/>
    <cellStyle name="Normal 5 2 4 3 6 2 2" xfId="15323" xr:uid="{DDBFAAE0-0D3B-4B16-9D8B-6F40843D5B9A}"/>
    <cellStyle name="Normal 5 2 4 3 6 2 3" xfId="23770" xr:uid="{F806665A-E54D-4477-96F2-F30F2B39C736}"/>
    <cellStyle name="Normal 5 2 4 3 6 3" xfId="11105" xr:uid="{8BB04353-DC09-4FF4-A5EF-B3C89376C5B6}"/>
    <cellStyle name="Normal 5 2 4 3 6 4" xfId="19553" xr:uid="{F563AB0D-2132-4069-B669-E93553D61282}"/>
    <cellStyle name="Normal 5 2 4 3 7" xfId="4808" xr:uid="{00000000-0005-0000-0000-00000E190000}"/>
    <cellStyle name="Normal 5 2 4 3 7 2" xfId="13258" xr:uid="{B5900DC1-2B71-4E18-9D07-F1D79DFD861E}"/>
    <cellStyle name="Normal 5 2 4 3 7 3" xfId="21705" xr:uid="{CC82F28E-02AB-42DC-B372-EB517D94808F}"/>
    <cellStyle name="Normal 5 2 4 3 8" xfId="9040" xr:uid="{A8D7F2AD-73BF-4FAA-BFE3-7F7163450949}"/>
    <cellStyle name="Normal 5 2 4 3 9" xfId="17488" xr:uid="{C1C3E2C8-7811-48D1-BA94-FDA0A02606EB}"/>
    <cellStyle name="Normal 5 2 4 4" xfId="906" xr:uid="{00000000-0005-0000-0000-00000F190000}"/>
    <cellStyle name="Normal 5 2 4 4 2" xfId="3141" xr:uid="{00000000-0005-0000-0000-000010190000}"/>
    <cellStyle name="Normal 5 2 4 4 2 2" xfId="7363" xr:uid="{00000000-0005-0000-0000-000011190000}"/>
    <cellStyle name="Normal 5 2 4 4 2 2 2" xfId="15813" xr:uid="{2BC68AE0-31AC-4B9C-AB6B-164843605B76}"/>
    <cellStyle name="Normal 5 2 4 4 2 2 3" xfId="24260" xr:uid="{F1CA2171-2F6C-4A98-804F-81AE3F79251D}"/>
    <cellStyle name="Normal 5 2 4 4 2 3" xfId="11595" xr:uid="{32D3E1BE-782C-4924-A545-482161F2C115}"/>
    <cellStyle name="Normal 5 2 4 4 2 4" xfId="20043" xr:uid="{714C32BE-9704-4D05-A49E-6539DFCC7BBB}"/>
    <cellStyle name="Normal 5 2 4 4 3" xfId="5218" xr:uid="{00000000-0005-0000-0000-000012190000}"/>
    <cellStyle name="Normal 5 2 4 4 3 2" xfId="13668" xr:uid="{32E54F5E-F772-4F27-AB36-85397C8D58A9}"/>
    <cellStyle name="Normal 5 2 4 4 3 3" xfId="22115" xr:uid="{87BDACE6-D58E-4180-893D-032CA29C3D10}"/>
    <cellStyle name="Normal 5 2 4 4 4" xfId="9450" xr:uid="{7602CDBA-BDE0-49F9-8077-557C200B171A}"/>
    <cellStyle name="Normal 5 2 4 4 5" xfId="17898" xr:uid="{55D280A5-1A31-440C-8813-9012985DD54D}"/>
    <cellStyle name="Normal 5 2 4 5" xfId="1324" xr:uid="{00000000-0005-0000-0000-000013190000}"/>
    <cellStyle name="Normal 5 2 4 5 2" xfId="3554" xr:uid="{00000000-0005-0000-0000-000014190000}"/>
    <cellStyle name="Normal 5 2 4 5 2 2" xfId="7776" xr:uid="{00000000-0005-0000-0000-000015190000}"/>
    <cellStyle name="Normal 5 2 4 5 2 2 2" xfId="16226" xr:uid="{8515475E-5F8C-4CF5-8EEA-3B546837AADA}"/>
    <cellStyle name="Normal 5 2 4 5 2 2 3" xfId="24673" xr:uid="{47E8B239-D2EF-47E9-9707-8CE8359824DF}"/>
    <cellStyle name="Normal 5 2 4 5 2 3" xfId="12008" xr:uid="{716A2F23-781B-41F7-A1C7-95656F35891B}"/>
    <cellStyle name="Normal 5 2 4 5 2 4" xfId="20456" xr:uid="{91524535-84CF-4891-A8FA-1E2052174C1A}"/>
    <cellStyle name="Normal 5 2 4 5 3" xfId="5631" xr:uid="{00000000-0005-0000-0000-000016190000}"/>
    <cellStyle name="Normal 5 2 4 5 3 2" xfId="14081" xr:uid="{59EB70D7-A5F5-4571-BDF2-A4EC22BC01B4}"/>
    <cellStyle name="Normal 5 2 4 5 3 3" xfId="22528" xr:uid="{B9EB284D-6686-45F3-9BA8-CCF49B39AA96}"/>
    <cellStyle name="Normal 5 2 4 5 4" xfId="9863" xr:uid="{AE738258-CC20-4B19-9789-466C0C9246F7}"/>
    <cellStyle name="Normal 5 2 4 5 5" xfId="18311" xr:uid="{919E9A40-73B2-4CB8-B7C7-5E6E9858A5B7}"/>
    <cellStyle name="Normal 5 2 4 6" xfId="1737" xr:uid="{00000000-0005-0000-0000-000017190000}"/>
    <cellStyle name="Normal 5 2 4 6 2" xfId="3967" xr:uid="{00000000-0005-0000-0000-000018190000}"/>
    <cellStyle name="Normal 5 2 4 6 2 2" xfId="8189" xr:uid="{00000000-0005-0000-0000-000019190000}"/>
    <cellStyle name="Normal 5 2 4 6 2 2 2" xfId="16639" xr:uid="{6F78F7B2-4126-4564-BEBC-15C60755C4E2}"/>
    <cellStyle name="Normal 5 2 4 6 2 2 3" xfId="25086" xr:uid="{F017F1D7-FD98-4DB8-BDD2-AD14AD558206}"/>
    <cellStyle name="Normal 5 2 4 6 2 3" xfId="12421" xr:uid="{5BB5ABE1-3604-4119-B3E1-D43A760C33CC}"/>
    <cellStyle name="Normal 5 2 4 6 2 4" xfId="20869" xr:uid="{AA79A885-4681-4778-B002-7BA97ADD7BE0}"/>
    <cellStyle name="Normal 5 2 4 6 3" xfId="6044" xr:uid="{00000000-0005-0000-0000-00001A190000}"/>
    <cellStyle name="Normal 5 2 4 6 3 2" xfId="14494" xr:uid="{25CF52C0-7750-42A6-9BD3-09D3781E97AA}"/>
    <cellStyle name="Normal 5 2 4 6 3 3" xfId="22941" xr:uid="{7567B276-1BAC-496B-AF78-72F9070B4B34}"/>
    <cellStyle name="Normal 5 2 4 6 4" xfId="10276" xr:uid="{BE7EDC9E-A6B7-441F-BADD-2909D3619060}"/>
    <cellStyle name="Normal 5 2 4 6 5" xfId="18724" xr:uid="{F63418E0-227C-4AEF-91D6-549ABF932E35}"/>
    <cellStyle name="Normal 5 2 4 7" xfId="2151" xr:uid="{00000000-0005-0000-0000-00001B190000}"/>
    <cellStyle name="Normal 5 2 4 7 2" xfId="4380" xr:uid="{00000000-0005-0000-0000-00001C190000}"/>
    <cellStyle name="Normal 5 2 4 7 2 2" xfId="8602" xr:uid="{00000000-0005-0000-0000-00001D190000}"/>
    <cellStyle name="Normal 5 2 4 7 2 2 2" xfId="17052" xr:uid="{F8B35870-993A-495A-BE69-24963AC97307}"/>
    <cellStyle name="Normal 5 2 4 7 2 2 3" xfId="25499" xr:uid="{108E0775-B3C8-40F1-B81A-79AC615C2FE1}"/>
    <cellStyle name="Normal 5 2 4 7 2 3" xfId="12834" xr:uid="{9C8C6A7A-0F54-4958-90EB-48B971640FFF}"/>
    <cellStyle name="Normal 5 2 4 7 2 4" xfId="21282" xr:uid="{D683FC0E-5F9C-4EA0-9F65-B56322DCE126}"/>
    <cellStyle name="Normal 5 2 4 7 3" xfId="6457" xr:uid="{00000000-0005-0000-0000-00001E190000}"/>
    <cellStyle name="Normal 5 2 4 7 3 2" xfId="14907" xr:uid="{84AF7408-7799-4689-9CC4-09D4FA2E94EA}"/>
    <cellStyle name="Normal 5 2 4 7 3 3" xfId="23354" xr:uid="{50026239-4D87-49C8-8A75-66F8EFB537F0}"/>
    <cellStyle name="Normal 5 2 4 7 4" xfId="10689" xr:uid="{FB94ED42-3CF6-47B7-BF0A-96DF89985D12}"/>
    <cellStyle name="Normal 5 2 4 7 5" xfId="19137" xr:uid="{6D69E423-3EB6-4561-A126-E392E4FC14DE}"/>
    <cellStyle name="Normal 5 2 4 8" xfId="2587" xr:uid="{00000000-0005-0000-0000-00001F190000}"/>
    <cellStyle name="Normal 5 2 4 8 2" xfId="6870" xr:uid="{00000000-0005-0000-0000-000020190000}"/>
    <cellStyle name="Normal 5 2 4 8 2 2" xfId="15320" xr:uid="{53DA01FA-2337-4D5C-8B21-C8B83D5B3C28}"/>
    <cellStyle name="Normal 5 2 4 8 2 3" xfId="23767" xr:uid="{A5477CAB-39DF-4C8D-8EC2-FA568A19C185}"/>
    <cellStyle name="Normal 5 2 4 8 3" xfId="11102" xr:uid="{0EFF4143-83DA-45B8-8265-774BD9A0377B}"/>
    <cellStyle name="Normal 5 2 4 8 4" xfId="19550" xr:uid="{EA92E945-AB9F-4680-AC48-41C704CE5744}"/>
    <cellStyle name="Normal 5 2 4 9" xfId="4805" xr:uid="{00000000-0005-0000-0000-000021190000}"/>
    <cellStyle name="Normal 5 2 4 9 2" xfId="13255" xr:uid="{DCF500C8-B91F-45FE-98E9-2FA8FA0E70F2}"/>
    <cellStyle name="Normal 5 2 4 9 3" xfId="21702" xr:uid="{B25CAE95-F5F9-4AD3-AFAF-3DA85FD9B3D5}"/>
    <cellStyle name="Normal 5 2 5" xfId="436" xr:uid="{00000000-0005-0000-0000-000022190000}"/>
    <cellStyle name="Normal 5 2 5 10" xfId="17489" xr:uid="{B06F2354-A56E-4400-A7A9-BBBFBCD4BB9E}"/>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2 2 2" xfId="15818" xr:uid="{6A5C60EC-67AF-4221-9029-95503E5370BD}"/>
    <cellStyle name="Normal 5 2 5 2 2 2 2 3" xfId="24265" xr:uid="{6A8CE1A6-6CA8-41C6-961D-FACC8EAD0E23}"/>
    <cellStyle name="Normal 5 2 5 2 2 2 3" xfId="11600" xr:uid="{AC27B67D-C2D6-4B31-B574-C346D4C19133}"/>
    <cellStyle name="Normal 5 2 5 2 2 2 4" xfId="20048" xr:uid="{78DD6C52-B9CA-497D-9204-E220A7852396}"/>
    <cellStyle name="Normal 5 2 5 2 2 3" xfId="5223" xr:uid="{00000000-0005-0000-0000-000027190000}"/>
    <cellStyle name="Normal 5 2 5 2 2 3 2" xfId="13673" xr:uid="{C9FB43FD-6316-4CC8-B2E5-2992C1637126}"/>
    <cellStyle name="Normal 5 2 5 2 2 3 3" xfId="22120" xr:uid="{DEE9F85D-31F0-40A3-AFBA-A8B8DABEA27E}"/>
    <cellStyle name="Normal 5 2 5 2 2 4" xfId="9455" xr:uid="{764D308C-5924-4639-837E-AB56A7582E6D}"/>
    <cellStyle name="Normal 5 2 5 2 2 5" xfId="17903" xr:uid="{1E962A2D-6279-49EC-A473-2ED685F1ECA1}"/>
    <cellStyle name="Normal 5 2 5 2 3" xfId="1329" xr:uid="{00000000-0005-0000-0000-000028190000}"/>
    <cellStyle name="Normal 5 2 5 2 3 2" xfId="3559" xr:uid="{00000000-0005-0000-0000-000029190000}"/>
    <cellStyle name="Normal 5 2 5 2 3 2 2" xfId="7781" xr:uid="{00000000-0005-0000-0000-00002A190000}"/>
    <cellStyle name="Normal 5 2 5 2 3 2 2 2" xfId="16231" xr:uid="{50520D09-9577-4A55-B2A9-822E89DBCF91}"/>
    <cellStyle name="Normal 5 2 5 2 3 2 2 3" xfId="24678" xr:uid="{6367F024-8E3E-4B58-AA94-93CA6E1D923C}"/>
    <cellStyle name="Normal 5 2 5 2 3 2 3" xfId="12013" xr:uid="{5B268576-18B5-4317-86E3-19C936175D1F}"/>
    <cellStyle name="Normal 5 2 5 2 3 2 4" xfId="20461" xr:uid="{E010EFE8-C5FF-4CA8-9348-BAB5619E3EBB}"/>
    <cellStyle name="Normal 5 2 5 2 3 3" xfId="5636" xr:uid="{00000000-0005-0000-0000-00002B190000}"/>
    <cellStyle name="Normal 5 2 5 2 3 3 2" xfId="14086" xr:uid="{C08F3FB7-5F84-4074-B24D-02E01795C237}"/>
    <cellStyle name="Normal 5 2 5 2 3 3 3" xfId="22533" xr:uid="{F01CCCD3-007C-402C-B2F9-2E30E2620352}"/>
    <cellStyle name="Normal 5 2 5 2 3 4" xfId="9868" xr:uid="{42677E62-BBB5-4A4C-8D4D-8E40CCCE9E92}"/>
    <cellStyle name="Normal 5 2 5 2 3 5" xfId="18316" xr:uid="{FE704A0B-B9D6-48B1-9F4B-D16BBD01D4EB}"/>
    <cellStyle name="Normal 5 2 5 2 4" xfId="1742" xr:uid="{00000000-0005-0000-0000-00002C190000}"/>
    <cellStyle name="Normal 5 2 5 2 4 2" xfId="3972" xr:uid="{00000000-0005-0000-0000-00002D190000}"/>
    <cellStyle name="Normal 5 2 5 2 4 2 2" xfId="8194" xr:uid="{00000000-0005-0000-0000-00002E190000}"/>
    <cellStyle name="Normal 5 2 5 2 4 2 2 2" xfId="16644" xr:uid="{B7CFD51A-B2AE-4AFF-A925-DE48E537969C}"/>
    <cellStyle name="Normal 5 2 5 2 4 2 2 3" xfId="25091" xr:uid="{52C13194-B21A-49BD-9982-2869BB9B2B81}"/>
    <cellStyle name="Normal 5 2 5 2 4 2 3" xfId="12426" xr:uid="{17A7EA3E-7642-4C56-A090-AE7E6BFB6F17}"/>
    <cellStyle name="Normal 5 2 5 2 4 2 4" xfId="20874" xr:uid="{A277CFC4-9D76-4B21-A9C0-03158575DE4B}"/>
    <cellStyle name="Normal 5 2 5 2 4 3" xfId="6049" xr:uid="{00000000-0005-0000-0000-00002F190000}"/>
    <cellStyle name="Normal 5 2 5 2 4 3 2" xfId="14499" xr:uid="{72132B6A-3145-4F4A-9871-3266BC91B346}"/>
    <cellStyle name="Normal 5 2 5 2 4 3 3" xfId="22946" xr:uid="{3AA7966B-B4B7-47BB-BD39-0FFCA1269F55}"/>
    <cellStyle name="Normal 5 2 5 2 4 4" xfId="10281" xr:uid="{0957CFD4-8B19-47A5-BF73-5C02839E03CE}"/>
    <cellStyle name="Normal 5 2 5 2 4 5" xfId="18729" xr:uid="{486D8958-8E5B-44FC-9523-8324E03F2CA2}"/>
    <cellStyle name="Normal 5 2 5 2 5" xfId="2156" xr:uid="{00000000-0005-0000-0000-000030190000}"/>
    <cellStyle name="Normal 5 2 5 2 5 2" xfId="4385" xr:uid="{00000000-0005-0000-0000-000031190000}"/>
    <cellStyle name="Normal 5 2 5 2 5 2 2" xfId="8607" xr:uid="{00000000-0005-0000-0000-000032190000}"/>
    <cellStyle name="Normal 5 2 5 2 5 2 2 2" xfId="17057" xr:uid="{5B603CE0-6713-4DD1-926E-7279B403319A}"/>
    <cellStyle name="Normal 5 2 5 2 5 2 2 3" xfId="25504" xr:uid="{516F8E76-AA69-4113-B90D-ABF18CABF50B}"/>
    <cellStyle name="Normal 5 2 5 2 5 2 3" xfId="12839" xr:uid="{E9348F61-B9D2-4F98-A959-CA7F5A373380}"/>
    <cellStyle name="Normal 5 2 5 2 5 2 4" xfId="21287" xr:uid="{D1FDC8F1-00E2-4083-9CCA-D39C1A3967CE}"/>
    <cellStyle name="Normal 5 2 5 2 5 3" xfId="6462" xr:uid="{00000000-0005-0000-0000-000033190000}"/>
    <cellStyle name="Normal 5 2 5 2 5 3 2" xfId="14912" xr:uid="{F5F48372-B765-46DF-AEBF-2676DE7A973D}"/>
    <cellStyle name="Normal 5 2 5 2 5 3 3" xfId="23359" xr:uid="{EB8FC940-0915-419F-9436-61D2FB2EADF1}"/>
    <cellStyle name="Normal 5 2 5 2 5 4" xfId="10694" xr:uid="{56E40571-D35D-4614-A1FB-18B2A86F16E1}"/>
    <cellStyle name="Normal 5 2 5 2 5 5" xfId="19142" xr:uid="{097981E0-32BA-4F7D-9C91-C6206DED508F}"/>
    <cellStyle name="Normal 5 2 5 2 6" xfId="2592" xr:uid="{00000000-0005-0000-0000-000034190000}"/>
    <cellStyle name="Normal 5 2 5 2 6 2" xfId="6875" xr:uid="{00000000-0005-0000-0000-000035190000}"/>
    <cellStyle name="Normal 5 2 5 2 6 2 2" xfId="15325" xr:uid="{F513F385-CBB0-4124-9E1E-E003830477A4}"/>
    <cellStyle name="Normal 5 2 5 2 6 2 3" xfId="23772" xr:uid="{9383B3F6-F751-43CF-822C-73520B20C918}"/>
    <cellStyle name="Normal 5 2 5 2 6 3" xfId="11107" xr:uid="{1ED81B2A-5726-4C99-B2EA-E55E7EF2CE77}"/>
    <cellStyle name="Normal 5 2 5 2 6 4" xfId="19555" xr:uid="{BDE48BF5-B3F6-4FA6-B10E-F5057F0E864E}"/>
    <cellStyle name="Normal 5 2 5 2 7" xfId="4810" xr:uid="{00000000-0005-0000-0000-000036190000}"/>
    <cellStyle name="Normal 5 2 5 2 7 2" xfId="13260" xr:uid="{2B99A8C6-6B16-4C20-B7A0-3BE44C8A9E6F}"/>
    <cellStyle name="Normal 5 2 5 2 7 3" xfId="21707" xr:uid="{4C55965A-3FA5-4D3B-957D-76DB8D0491F1}"/>
    <cellStyle name="Normal 5 2 5 2 8" xfId="9042" xr:uid="{4744D3DD-DCE5-435A-8E57-12635FDA5437}"/>
    <cellStyle name="Normal 5 2 5 2 9" xfId="17490" xr:uid="{314D8349-7E6A-4682-AEC3-74ADB6C5DF2B}"/>
    <cellStyle name="Normal 5 2 5 3" xfId="910" xr:uid="{00000000-0005-0000-0000-000037190000}"/>
    <cellStyle name="Normal 5 2 5 3 2" xfId="3145" xr:uid="{00000000-0005-0000-0000-000038190000}"/>
    <cellStyle name="Normal 5 2 5 3 2 2" xfId="7367" xr:uid="{00000000-0005-0000-0000-000039190000}"/>
    <cellStyle name="Normal 5 2 5 3 2 2 2" xfId="15817" xr:uid="{7A2D2B4D-B383-48AE-B4A9-D3DB2987B936}"/>
    <cellStyle name="Normal 5 2 5 3 2 2 3" xfId="24264" xr:uid="{667537F5-5BDD-4230-8F48-B1B52F9FE109}"/>
    <cellStyle name="Normal 5 2 5 3 2 3" xfId="11599" xr:uid="{33E432D5-F60D-4F57-8FE0-F525CEA9DCC3}"/>
    <cellStyle name="Normal 5 2 5 3 2 4" xfId="20047" xr:uid="{08DF65BA-2F23-4FBE-917F-4F772BEFA88F}"/>
    <cellStyle name="Normal 5 2 5 3 3" xfId="5222" xr:uid="{00000000-0005-0000-0000-00003A190000}"/>
    <cellStyle name="Normal 5 2 5 3 3 2" xfId="13672" xr:uid="{98A39D2E-BCC1-4E0C-BAC5-230527585829}"/>
    <cellStyle name="Normal 5 2 5 3 3 3" xfId="22119" xr:uid="{416CD2C1-DE96-4987-B713-A9F5CB38B2ED}"/>
    <cellStyle name="Normal 5 2 5 3 4" xfId="9454" xr:uid="{C26266BD-E8FB-4241-9964-9F83BA79987C}"/>
    <cellStyle name="Normal 5 2 5 3 5" xfId="17902" xr:uid="{75A74609-5BC7-40FE-843F-A37C32BF8C7C}"/>
    <cellStyle name="Normal 5 2 5 4" xfId="1328" xr:uid="{00000000-0005-0000-0000-00003B190000}"/>
    <cellStyle name="Normal 5 2 5 4 2" xfId="3558" xr:uid="{00000000-0005-0000-0000-00003C190000}"/>
    <cellStyle name="Normal 5 2 5 4 2 2" xfId="7780" xr:uid="{00000000-0005-0000-0000-00003D190000}"/>
    <cellStyle name="Normal 5 2 5 4 2 2 2" xfId="16230" xr:uid="{5BA12FF5-3965-4CB5-8711-1B4A17E0FB92}"/>
    <cellStyle name="Normal 5 2 5 4 2 2 3" xfId="24677" xr:uid="{ACBCE6D0-9175-4B84-9F36-85CF8D3C3E50}"/>
    <cellStyle name="Normal 5 2 5 4 2 3" xfId="12012" xr:uid="{B727692E-F260-46A6-80E1-BD5DEA6974EC}"/>
    <cellStyle name="Normal 5 2 5 4 2 4" xfId="20460" xr:uid="{70243702-A86B-42CA-80BC-4DA1D412CA70}"/>
    <cellStyle name="Normal 5 2 5 4 3" xfId="5635" xr:uid="{00000000-0005-0000-0000-00003E190000}"/>
    <cellStyle name="Normal 5 2 5 4 3 2" xfId="14085" xr:uid="{6C496555-DF88-48DB-9947-9CC7A9D8E5D2}"/>
    <cellStyle name="Normal 5 2 5 4 3 3" xfId="22532" xr:uid="{16D31184-B333-4E40-AD17-7F41303EF1F3}"/>
    <cellStyle name="Normal 5 2 5 4 4" xfId="9867" xr:uid="{35F8F56E-4A2A-441E-9F79-519F9CC4162F}"/>
    <cellStyle name="Normal 5 2 5 4 5" xfId="18315" xr:uid="{A9AA8BA9-2C41-436B-86D2-355F85E294D8}"/>
    <cellStyle name="Normal 5 2 5 5" xfId="1741" xr:uid="{00000000-0005-0000-0000-00003F190000}"/>
    <cellStyle name="Normal 5 2 5 5 2" xfId="3971" xr:uid="{00000000-0005-0000-0000-000040190000}"/>
    <cellStyle name="Normal 5 2 5 5 2 2" xfId="8193" xr:uid="{00000000-0005-0000-0000-000041190000}"/>
    <cellStyle name="Normal 5 2 5 5 2 2 2" xfId="16643" xr:uid="{26685BCE-76A2-4D83-BD61-1A5CA6791D7F}"/>
    <cellStyle name="Normal 5 2 5 5 2 2 3" xfId="25090" xr:uid="{CDBDF43A-E1A2-4CCF-B0CC-B2DC28CCCC79}"/>
    <cellStyle name="Normal 5 2 5 5 2 3" xfId="12425" xr:uid="{16FC7EF4-EA6D-4D74-B905-AE42BF077851}"/>
    <cellStyle name="Normal 5 2 5 5 2 4" xfId="20873" xr:uid="{F543BE7D-3BEA-4A82-96C4-06683AF182CE}"/>
    <cellStyle name="Normal 5 2 5 5 3" xfId="6048" xr:uid="{00000000-0005-0000-0000-000042190000}"/>
    <cellStyle name="Normal 5 2 5 5 3 2" xfId="14498" xr:uid="{C1C06F0F-C98F-4293-8C60-020DF427F417}"/>
    <cellStyle name="Normal 5 2 5 5 3 3" xfId="22945" xr:uid="{3EBE5894-6575-475D-A3AD-B3A3065A5E6F}"/>
    <cellStyle name="Normal 5 2 5 5 4" xfId="10280" xr:uid="{3789DC74-7607-42F8-A73A-26B0B875C92C}"/>
    <cellStyle name="Normal 5 2 5 5 5" xfId="18728" xr:uid="{B7529641-E3A5-4727-A3CC-CB1E8A811F80}"/>
    <cellStyle name="Normal 5 2 5 6" xfId="2155" xr:uid="{00000000-0005-0000-0000-000043190000}"/>
    <cellStyle name="Normal 5 2 5 6 2" xfId="4384" xr:uid="{00000000-0005-0000-0000-000044190000}"/>
    <cellStyle name="Normal 5 2 5 6 2 2" xfId="8606" xr:uid="{00000000-0005-0000-0000-000045190000}"/>
    <cellStyle name="Normal 5 2 5 6 2 2 2" xfId="17056" xr:uid="{D54FD998-14AE-48CE-B944-A5F66160F897}"/>
    <cellStyle name="Normal 5 2 5 6 2 2 3" xfId="25503" xr:uid="{40496351-5AE8-472E-BDBA-875EA629638B}"/>
    <cellStyle name="Normal 5 2 5 6 2 3" xfId="12838" xr:uid="{B107FBFA-0810-44A6-855B-06EF77C1AC54}"/>
    <cellStyle name="Normal 5 2 5 6 2 4" xfId="21286" xr:uid="{CE92DF7A-46DA-4C71-A9E6-27329A4C95C9}"/>
    <cellStyle name="Normal 5 2 5 6 3" xfId="6461" xr:uid="{00000000-0005-0000-0000-000046190000}"/>
    <cellStyle name="Normal 5 2 5 6 3 2" xfId="14911" xr:uid="{0FFB9CD8-ACE2-43CC-95FF-4CEE093B9045}"/>
    <cellStyle name="Normal 5 2 5 6 3 3" xfId="23358" xr:uid="{DFFF1509-D1A3-406E-AB5E-1573D0E8BBC8}"/>
    <cellStyle name="Normal 5 2 5 6 4" xfId="10693" xr:uid="{1BA42288-0B09-402C-AEFB-37E80FD0873F}"/>
    <cellStyle name="Normal 5 2 5 6 5" xfId="19141" xr:uid="{F0524CF4-A81E-4CD9-A103-E5E6F62C7BE9}"/>
    <cellStyle name="Normal 5 2 5 7" xfId="2591" xr:uid="{00000000-0005-0000-0000-000047190000}"/>
    <cellStyle name="Normal 5 2 5 7 2" xfId="6874" xr:uid="{00000000-0005-0000-0000-000048190000}"/>
    <cellStyle name="Normal 5 2 5 7 2 2" xfId="15324" xr:uid="{B1EE9DC0-77B2-4734-B4D2-BFB2DB219D17}"/>
    <cellStyle name="Normal 5 2 5 7 2 3" xfId="23771" xr:uid="{CD077231-07A6-4936-9D17-E51C8D1BFEED}"/>
    <cellStyle name="Normal 5 2 5 7 3" xfId="11106" xr:uid="{6A96F627-0DF4-4D25-9B51-881E63AB7FC0}"/>
    <cellStyle name="Normal 5 2 5 7 4" xfId="19554" xr:uid="{AC15E0C3-2A2C-45A9-8DB0-A2E71544FAF3}"/>
    <cellStyle name="Normal 5 2 5 8" xfId="4809" xr:uid="{00000000-0005-0000-0000-000049190000}"/>
    <cellStyle name="Normal 5 2 5 8 2" xfId="13259" xr:uid="{1FA725F7-1138-4FD8-9E3C-81AFB3536ED1}"/>
    <cellStyle name="Normal 5 2 5 8 3" xfId="21706" xr:uid="{652B7AF4-EA1D-4BE7-B740-BBEC56DB1A1D}"/>
    <cellStyle name="Normal 5 2 5 9" xfId="9041" xr:uid="{7231AD0B-0E52-4C3C-91FB-5DE76D0E0E11}"/>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2 2 2" xfId="15819" xr:uid="{C87F90FE-3CED-4209-BF1F-A353EC87A8C7}"/>
    <cellStyle name="Normal 5 2 6 2 2 2 3" xfId="24266" xr:uid="{D6F2B4E6-1227-46F0-B1B2-DCB4BA95B558}"/>
    <cellStyle name="Normal 5 2 6 2 2 3" xfId="11601" xr:uid="{7CD720B8-DE3E-4B76-A1EA-D5D0B44E05C1}"/>
    <cellStyle name="Normal 5 2 6 2 2 4" xfId="20049" xr:uid="{C79FDA8A-74D7-4D07-8F06-35ADDD64BCB8}"/>
    <cellStyle name="Normal 5 2 6 2 3" xfId="5224" xr:uid="{00000000-0005-0000-0000-00004E190000}"/>
    <cellStyle name="Normal 5 2 6 2 3 2" xfId="13674" xr:uid="{F8574412-89F2-49CD-A672-3AD7F49B116B}"/>
    <cellStyle name="Normal 5 2 6 2 3 3" xfId="22121" xr:uid="{CAF52676-8FB3-4D4A-9F84-8FC5D7023812}"/>
    <cellStyle name="Normal 5 2 6 2 4" xfId="9456" xr:uid="{CA530DD2-4659-446E-B5B7-D40CE94D5BD7}"/>
    <cellStyle name="Normal 5 2 6 2 5" xfId="17904" xr:uid="{23993740-4338-4430-89EB-6ADEEF0BBD44}"/>
    <cellStyle name="Normal 5 2 6 3" xfId="1330" xr:uid="{00000000-0005-0000-0000-00004F190000}"/>
    <cellStyle name="Normal 5 2 6 3 2" xfId="3560" xr:uid="{00000000-0005-0000-0000-000050190000}"/>
    <cellStyle name="Normal 5 2 6 3 2 2" xfId="7782" xr:uid="{00000000-0005-0000-0000-000051190000}"/>
    <cellStyle name="Normal 5 2 6 3 2 2 2" xfId="16232" xr:uid="{E5D774F7-75EE-400D-B730-6B4BC700F880}"/>
    <cellStyle name="Normal 5 2 6 3 2 2 3" xfId="24679" xr:uid="{74F4C03D-8895-4547-9F9E-EF26194FF947}"/>
    <cellStyle name="Normal 5 2 6 3 2 3" xfId="12014" xr:uid="{E4680233-EA9C-48D6-A6DD-E891B2ECC44E}"/>
    <cellStyle name="Normal 5 2 6 3 2 4" xfId="20462" xr:uid="{6EE958A9-D2DD-4EB8-ABC0-D673C5EB179A}"/>
    <cellStyle name="Normal 5 2 6 3 3" xfId="5637" xr:uid="{00000000-0005-0000-0000-000052190000}"/>
    <cellStyle name="Normal 5 2 6 3 3 2" xfId="14087" xr:uid="{D52EDC27-7CDE-4C7A-98A9-59B98F92441B}"/>
    <cellStyle name="Normal 5 2 6 3 3 3" xfId="22534" xr:uid="{992ACFCE-BF3C-4C70-9B09-C2A7B3E93E27}"/>
    <cellStyle name="Normal 5 2 6 3 4" xfId="9869" xr:uid="{DAE207CB-DCC8-4C58-9940-34EA414B19D9}"/>
    <cellStyle name="Normal 5 2 6 3 5" xfId="18317" xr:uid="{1046FB69-66CE-4729-8A00-E89CC4016BF8}"/>
    <cellStyle name="Normal 5 2 6 4" xfId="1743" xr:uid="{00000000-0005-0000-0000-000053190000}"/>
    <cellStyle name="Normal 5 2 6 4 2" xfId="3973" xr:uid="{00000000-0005-0000-0000-000054190000}"/>
    <cellStyle name="Normal 5 2 6 4 2 2" xfId="8195" xr:uid="{00000000-0005-0000-0000-000055190000}"/>
    <cellStyle name="Normal 5 2 6 4 2 2 2" xfId="16645" xr:uid="{3F64C8F0-67CC-4829-B66B-7CFBBF2530FC}"/>
    <cellStyle name="Normal 5 2 6 4 2 2 3" xfId="25092" xr:uid="{F401C6AC-18F8-4F18-B6DE-7EA9755E197B}"/>
    <cellStyle name="Normal 5 2 6 4 2 3" xfId="12427" xr:uid="{42D85EE1-81EE-4464-B4CD-DE5E9DCC8860}"/>
    <cellStyle name="Normal 5 2 6 4 2 4" xfId="20875" xr:uid="{CFC36671-E748-48C2-94B0-56E166E4CE57}"/>
    <cellStyle name="Normal 5 2 6 4 3" xfId="6050" xr:uid="{00000000-0005-0000-0000-000056190000}"/>
    <cellStyle name="Normal 5 2 6 4 3 2" xfId="14500" xr:uid="{B51F026D-8D7D-4EAC-BBC7-6FE339ABDCF6}"/>
    <cellStyle name="Normal 5 2 6 4 3 3" xfId="22947" xr:uid="{A5AD851B-E9E5-4D76-B2F8-28C25CAB4DD0}"/>
    <cellStyle name="Normal 5 2 6 4 4" xfId="10282" xr:uid="{1C544C43-99B0-4066-9A70-79B91C283C43}"/>
    <cellStyle name="Normal 5 2 6 4 5" xfId="18730" xr:uid="{0D352564-E8AC-48C5-851C-FBFA6D5F6E29}"/>
    <cellStyle name="Normal 5 2 6 5" xfId="2157" xr:uid="{00000000-0005-0000-0000-000057190000}"/>
    <cellStyle name="Normal 5 2 6 5 2" xfId="4386" xr:uid="{00000000-0005-0000-0000-000058190000}"/>
    <cellStyle name="Normal 5 2 6 5 2 2" xfId="8608" xr:uid="{00000000-0005-0000-0000-000059190000}"/>
    <cellStyle name="Normal 5 2 6 5 2 2 2" xfId="17058" xr:uid="{3FAB87B8-7759-42A4-A064-ED8B7558E7FE}"/>
    <cellStyle name="Normal 5 2 6 5 2 2 3" xfId="25505" xr:uid="{D6B57A2D-302D-41F0-ADBB-718189E5EE50}"/>
    <cellStyle name="Normal 5 2 6 5 2 3" xfId="12840" xr:uid="{F25718F2-6776-47D6-9443-8112171760B1}"/>
    <cellStyle name="Normal 5 2 6 5 2 4" xfId="21288" xr:uid="{02DDAB1B-7EB7-4323-B1A9-0F89EB5510F3}"/>
    <cellStyle name="Normal 5 2 6 5 3" xfId="6463" xr:uid="{00000000-0005-0000-0000-00005A190000}"/>
    <cellStyle name="Normal 5 2 6 5 3 2" xfId="14913" xr:uid="{2115C136-CD7E-4624-8254-965727BBD7FF}"/>
    <cellStyle name="Normal 5 2 6 5 3 3" xfId="23360" xr:uid="{8F679580-5529-42FA-B7F6-8BFF156FC2A4}"/>
    <cellStyle name="Normal 5 2 6 5 4" xfId="10695" xr:uid="{9BC88C1E-64C0-4171-82AB-67DF24AD0CE0}"/>
    <cellStyle name="Normal 5 2 6 5 5" xfId="19143" xr:uid="{0EC00D24-D002-4000-81BA-9CF18686EF89}"/>
    <cellStyle name="Normal 5 2 6 6" xfId="2593" xr:uid="{00000000-0005-0000-0000-00005B190000}"/>
    <cellStyle name="Normal 5 2 6 6 2" xfId="6876" xr:uid="{00000000-0005-0000-0000-00005C190000}"/>
    <cellStyle name="Normal 5 2 6 6 2 2" xfId="15326" xr:uid="{41A0837F-53D6-4BEC-B803-C1A0A9AF3D3A}"/>
    <cellStyle name="Normal 5 2 6 6 2 3" xfId="23773" xr:uid="{A11F684E-D44B-4CC3-84E2-2B310B5FF0E2}"/>
    <cellStyle name="Normal 5 2 6 6 3" xfId="11108" xr:uid="{3E88FD51-9C4E-4AC0-B3A1-9B2653887461}"/>
    <cellStyle name="Normal 5 2 6 6 4" xfId="19556" xr:uid="{983A60D3-84E0-4663-A103-6429ACB2B879}"/>
    <cellStyle name="Normal 5 2 6 7" xfId="4811" xr:uid="{00000000-0005-0000-0000-00005D190000}"/>
    <cellStyle name="Normal 5 2 6 7 2" xfId="13261" xr:uid="{F99E8A3C-01C9-49B6-A689-A341B4AC1C2C}"/>
    <cellStyle name="Normal 5 2 6 7 3" xfId="21708" xr:uid="{985AF399-96CA-47D1-9E0D-0E73B60CB014}"/>
    <cellStyle name="Normal 5 2 6 8" xfId="9043" xr:uid="{E0DEEDB2-1502-44C3-95B1-A6180A4B6AFA}"/>
    <cellStyle name="Normal 5 2 6 9" xfId="17491" xr:uid="{CBF8053B-FC4A-4458-9595-101DAC4CEAA1}"/>
    <cellStyle name="Normal 5 2 7" xfId="881" xr:uid="{00000000-0005-0000-0000-00005E190000}"/>
    <cellStyle name="Normal 5 2 7 2" xfId="3116" xr:uid="{00000000-0005-0000-0000-00005F190000}"/>
    <cellStyle name="Normal 5 2 7 2 2" xfId="7338" xr:uid="{00000000-0005-0000-0000-000060190000}"/>
    <cellStyle name="Normal 5 2 7 2 2 2" xfId="15788" xr:uid="{61EE45BC-F159-46D0-989D-92E54579EAED}"/>
    <cellStyle name="Normal 5 2 7 2 2 3" xfId="24235" xr:uid="{E690613D-C57A-4927-850C-D7245EDD18B3}"/>
    <cellStyle name="Normal 5 2 7 2 3" xfId="11570" xr:uid="{8B3B6080-4547-4F96-8D58-4548B9384C42}"/>
    <cellStyle name="Normal 5 2 7 2 4" xfId="20018" xr:uid="{01DD0DA1-692A-4914-9FDC-8B7C67CF0477}"/>
    <cellStyle name="Normal 5 2 7 3" xfId="5193" xr:uid="{00000000-0005-0000-0000-000061190000}"/>
    <cellStyle name="Normal 5 2 7 3 2" xfId="13643" xr:uid="{1732FA8A-7217-4D95-AB22-ABC07C032AFC}"/>
    <cellStyle name="Normal 5 2 7 3 3" xfId="22090" xr:uid="{0473634B-CC59-48DB-9791-FDDDE5A6FF1E}"/>
    <cellStyle name="Normal 5 2 7 4" xfId="9425" xr:uid="{D4C9A956-2E18-4227-8FFA-5698273C8D26}"/>
    <cellStyle name="Normal 5 2 7 5" xfId="17873" xr:uid="{9C363C68-8797-4051-80C2-1E71D277594B}"/>
    <cellStyle name="Normal 5 2 8" xfId="1299" xr:uid="{00000000-0005-0000-0000-000062190000}"/>
    <cellStyle name="Normal 5 2 8 2" xfId="3529" xr:uid="{00000000-0005-0000-0000-000063190000}"/>
    <cellStyle name="Normal 5 2 8 2 2" xfId="7751" xr:uid="{00000000-0005-0000-0000-000064190000}"/>
    <cellStyle name="Normal 5 2 8 2 2 2" xfId="16201" xr:uid="{AA4164F1-7977-408C-A8F2-7BC5633C1B18}"/>
    <cellStyle name="Normal 5 2 8 2 2 3" xfId="24648" xr:uid="{E6BC3415-3F49-46F2-9D06-81AF7F33BE6B}"/>
    <cellStyle name="Normal 5 2 8 2 3" xfId="11983" xr:uid="{9AA99AEB-3A4E-400E-8DCF-37F2406653F0}"/>
    <cellStyle name="Normal 5 2 8 2 4" xfId="20431" xr:uid="{ED18D2D5-7780-4419-971F-457149035323}"/>
    <cellStyle name="Normal 5 2 8 3" xfId="5606" xr:uid="{00000000-0005-0000-0000-000065190000}"/>
    <cellStyle name="Normal 5 2 8 3 2" xfId="14056" xr:uid="{18696FF1-998F-4F55-B6EC-B8BAD77231C5}"/>
    <cellStyle name="Normal 5 2 8 3 3" xfId="22503" xr:uid="{529706AF-E21A-4CF7-B32F-16E5720E0BBE}"/>
    <cellStyle name="Normal 5 2 8 4" xfId="9838" xr:uid="{FB4BC727-24B2-4654-83AC-26EBA6C9403C}"/>
    <cellStyle name="Normal 5 2 8 5" xfId="18286" xr:uid="{9EC082C6-96BA-4D02-974E-BAD0828BE5AC}"/>
    <cellStyle name="Normal 5 2 9" xfId="1712" xr:uid="{00000000-0005-0000-0000-000066190000}"/>
    <cellStyle name="Normal 5 2 9 2" xfId="3942" xr:uid="{00000000-0005-0000-0000-000067190000}"/>
    <cellStyle name="Normal 5 2 9 2 2" xfId="8164" xr:uid="{00000000-0005-0000-0000-000068190000}"/>
    <cellStyle name="Normal 5 2 9 2 2 2" xfId="16614" xr:uid="{228511CE-4736-4797-B22C-F765540AF55C}"/>
    <cellStyle name="Normal 5 2 9 2 2 3" xfId="25061" xr:uid="{F346FC83-C612-4CF1-971B-8527F6AEB453}"/>
    <cellStyle name="Normal 5 2 9 2 3" xfId="12396" xr:uid="{AED6FCBD-D66B-4DC0-95AD-C4B94A3EF6BD}"/>
    <cellStyle name="Normal 5 2 9 2 4" xfId="20844" xr:uid="{442AAE54-D3D1-4965-B1E6-F8775855446F}"/>
    <cellStyle name="Normal 5 2 9 3" xfId="6019" xr:uid="{00000000-0005-0000-0000-000069190000}"/>
    <cellStyle name="Normal 5 2 9 3 2" xfId="14469" xr:uid="{8484C2CE-627A-4B33-888C-44506B078FAD}"/>
    <cellStyle name="Normal 5 2 9 3 3" xfId="22916" xr:uid="{069AC136-11B4-4588-8685-6A0C36858840}"/>
    <cellStyle name="Normal 5 2 9 4" xfId="10251" xr:uid="{6F3D3718-BB60-4AAA-BD7D-7E175E2A45C0}"/>
    <cellStyle name="Normal 5 2 9 5" xfId="18699" xr:uid="{BFF8C5A1-AE15-4E08-AB4B-9E94712BE3A9}"/>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2 2 2" xfId="17059" xr:uid="{631A95AA-63B8-4394-B7E7-84206545EDF3}"/>
    <cellStyle name="Normal 5 3 10 2 2 3" xfId="25506" xr:uid="{F85EAA01-29A5-4092-81D1-C0F560F0C434}"/>
    <cellStyle name="Normal 5 3 10 2 3" xfId="12841" xr:uid="{956159FC-4F04-46E3-802B-8613ED07E8C7}"/>
    <cellStyle name="Normal 5 3 10 2 4" xfId="21289" xr:uid="{75AFBD31-A3EA-47D3-B6D1-D898ECC66CAC}"/>
    <cellStyle name="Normal 5 3 10 3" xfId="6464" xr:uid="{00000000-0005-0000-0000-00006E190000}"/>
    <cellStyle name="Normal 5 3 10 3 2" xfId="14914" xr:uid="{18663BAB-562E-4882-858D-B8770FC018FC}"/>
    <cellStyle name="Normal 5 3 10 3 3" xfId="23361" xr:uid="{4C145808-DC35-4E3A-BD7A-64B6A4DF2FF4}"/>
    <cellStyle name="Normal 5 3 10 4" xfId="10696" xr:uid="{385BC7FE-3346-44AE-9C4E-5DED52FF0891}"/>
    <cellStyle name="Normal 5 3 10 5" xfId="19144" xr:uid="{E3D07D9D-B5A4-4BE3-B52A-428DC73408F7}"/>
    <cellStyle name="Normal 5 3 11" xfId="2594" xr:uid="{00000000-0005-0000-0000-00006F190000}"/>
    <cellStyle name="Normal 5 3 11 2" xfId="6877" xr:uid="{00000000-0005-0000-0000-000070190000}"/>
    <cellStyle name="Normal 5 3 11 2 2" xfId="15327" xr:uid="{F3F8334F-F73F-48A2-B46F-F721CE2305B8}"/>
    <cellStyle name="Normal 5 3 11 2 3" xfId="23774" xr:uid="{33732620-F2D9-4A29-AE15-4405EF834811}"/>
    <cellStyle name="Normal 5 3 11 3" xfId="11109" xr:uid="{E0B4A07B-8193-4EC6-9EEE-9C33B9108E62}"/>
    <cellStyle name="Normal 5 3 11 4" xfId="19557" xr:uid="{06341A9D-9647-4E0B-925A-24ABF3EEC029}"/>
    <cellStyle name="Normal 5 3 12" xfId="4812" xr:uid="{00000000-0005-0000-0000-000071190000}"/>
    <cellStyle name="Normal 5 3 12 2" xfId="13262" xr:uid="{E7D39A23-7475-4414-A905-60C73E8A208F}"/>
    <cellStyle name="Normal 5 3 12 3" xfId="21709" xr:uid="{2E70555E-E320-4470-8832-8C169053F339}"/>
    <cellStyle name="Normal 5 3 13" xfId="9044" xr:uid="{6FDC17E4-B67E-4706-BD2B-E0B832E12A73}"/>
    <cellStyle name="Normal 5 3 14" xfId="17492" xr:uid="{1B419110-2E05-4074-8B33-E29C2C8AD1F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10 2" xfId="13263" xr:uid="{182BDA0C-F9A5-4A01-AB80-40908894BC83}"/>
    <cellStyle name="Normal 5 3 3 10 3" xfId="21710" xr:uid="{70BFDFCC-70C2-4118-A032-010C9F9CADAF}"/>
    <cellStyle name="Normal 5 3 3 11" xfId="9045" xr:uid="{89F1BC37-ECDA-4F3F-9FAA-8AA49FC392B7}"/>
    <cellStyle name="Normal 5 3 3 12" xfId="17493" xr:uid="{EF488526-95D9-4B3B-9269-060D488224BA}"/>
    <cellStyle name="Normal 5 3 3 2" xfId="442" xr:uid="{00000000-0005-0000-0000-000076190000}"/>
    <cellStyle name="Normal 5 3 3 2 10" xfId="9046" xr:uid="{86E1E02B-F40C-411D-9503-64353310F7D7}"/>
    <cellStyle name="Normal 5 3 3 2 11" xfId="17494" xr:uid="{01AF0436-8C6A-483A-A5B3-E44561F47CC8}"/>
    <cellStyle name="Normal 5 3 3 2 2" xfId="443" xr:uid="{00000000-0005-0000-0000-000077190000}"/>
    <cellStyle name="Normal 5 3 3 2 2 10" xfId="17495" xr:uid="{1612ABBA-111A-4B1B-A785-CE26FA289618}"/>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2 2 2" xfId="15824" xr:uid="{8D86D5B6-F284-4F52-9EF6-CAEBA67F4B75}"/>
    <cellStyle name="Normal 5 3 3 2 2 2 2 2 2 3" xfId="24271" xr:uid="{ABA50E4C-9A99-4F92-904E-FC0AB8CD96FB}"/>
    <cellStyle name="Normal 5 3 3 2 2 2 2 2 3" xfId="11606" xr:uid="{6F0596FD-3BEE-4E52-8F43-762B38F39AA8}"/>
    <cellStyle name="Normal 5 3 3 2 2 2 2 2 4" xfId="20054" xr:uid="{4CA335BE-387D-4A5C-8C6E-A9735575FF1B}"/>
    <cellStyle name="Normal 5 3 3 2 2 2 2 3" xfId="5229" xr:uid="{00000000-0005-0000-0000-00007C190000}"/>
    <cellStyle name="Normal 5 3 3 2 2 2 2 3 2" xfId="13679" xr:uid="{D026C294-6A69-40AC-9C0F-02ADE8D80E45}"/>
    <cellStyle name="Normal 5 3 3 2 2 2 2 3 3" xfId="22126" xr:uid="{79EBB725-9FCB-447A-9569-004476FE2B16}"/>
    <cellStyle name="Normal 5 3 3 2 2 2 2 4" xfId="9461" xr:uid="{F732A27D-4BAA-49A8-A610-F6A37C809F10}"/>
    <cellStyle name="Normal 5 3 3 2 2 2 2 5" xfId="17909" xr:uid="{85CF5AD0-449A-4BF9-9BDA-DA4512E7DF01}"/>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2 2 2" xfId="16237" xr:uid="{D2D13BCF-44CA-4BEC-953D-1DC52F4F3A68}"/>
    <cellStyle name="Normal 5 3 3 2 2 2 3 2 2 3" xfId="24684" xr:uid="{76C28EBF-EBB7-44BB-8F55-EC6A76162D63}"/>
    <cellStyle name="Normal 5 3 3 2 2 2 3 2 3" xfId="12019" xr:uid="{DD819F92-2F13-4F40-AEFB-ED1801AEB904}"/>
    <cellStyle name="Normal 5 3 3 2 2 2 3 2 4" xfId="20467" xr:uid="{4728227A-4B3C-4C51-B56D-CD4495413749}"/>
    <cellStyle name="Normal 5 3 3 2 2 2 3 3" xfId="5642" xr:uid="{00000000-0005-0000-0000-000080190000}"/>
    <cellStyle name="Normal 5 3 3 2 2 2 3 3 2" xfId="14092" xr:uid="{8DB06281-AB26-4C6A-AA27-93358681D760}"/>
    <cellStyle name="Normal 5 3 3 2 2 2 3 3 3" xfId="22539" xr:uid="{ABB6D0B6-2E03-45FA-A771-29970DDE24B3}"/>
    <cellStyle name="Normal 5 3 3 2 2 2 3 4" xfId="9874" xr:uid="{379D6C6A-5645-40C7-BF95-C809892AFFEE}"/>
    <cellStyle name="Normal 5 3 3 2 2 2 3 5" xfId="18322" xr:uid="{073C937C-8570-4F73-8589-0C544918C76F}"/>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2 2 2" xfId="16650" xr:uid="{074B6057-E86A-42EF-87A0-84CE0E69FECD}"/>
    <cellStyle name="Normal 5 3 3 2 2 2 4 2 2 3" xfId="25097" xr:uid="{49A3D4EF-624A-499D-8105-8FAFFCFAC39F}"/>
    <cellStyle name="Normal 5 3 3 2 2 2 4 2 3" xfId="12432" xr:uid="{B49D8855-310C-4A23-A305-C1BDD5D43193}"/>
    <cellStyle name="Normal 5 3 3 2 2 2 4 2 4" xfId="20880" xr:uid="{0405BA82-42F6-4F2D-81C2-1D9FADDF8BD8}"/>
    <cellStyle name="Normal 5 3 3 2 2 2 4 3" xfId="6055" xr:uid="{00000000-0005-0000-0000-000084190000}"/>
    <cellStyle name="Normal 5 3 3 2 2 2 4 3 2" xfId="14505" xr:uid="{F887814B-1B10-4DA4-8771-9E3AC29B8590}"/>
    <cellStyle name="Normal 5 3 3 2 2 2 4 3 3" xfId="22952" xr:uid="{6336AA47-90F2-4DE0-B55E-3AE562969A96}"/>
    <cellStyle name="Normal 5 3 3 2 2 2 4 4" xfId="10287" xr:uid="{8C3922EE-8B59-49C2-911E-8F7D18297FE6}"/>
    <cellStyle name="Normal 5 3 3 2 2 2 4 5" xfId="18735" xr:uid="{E38C3327-305A-442A-B5E6-9323C7E03F95}"/>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2 2 2" xfId="17063" xr:uid="{EEFE3921-2007-4540-B404-A4CFE7E6B6AF}"/>
    <cellStyle name="Normal 5 3 3 2 2 2 5 2 2 3" xfId="25510" xr:uid="{67459817-7643-4022-A426-0900EF955EAE}"/>
    <cellStyle name="Normal 5 3 3 2 2 2 5 2 3" xfId="12845" xr:uid="{13357BB2-AA36-42AB-9D44-0E777CD57A61}"/>
    <cellStyle name="Normal 5 3 3 2 2 2 5 2 4" xfId="21293" xr:uid="{9F441867-7797-46A0-8B80-823049CDC220}"/>
    <cellStyle name="Normal 5 3 3 2 2 2 5 3" xfId="6468" xr:uid="{00000000-0005-0000-0000-000088190000}"/>
    <cellStyle name="Normal 5 3 3 2 2 2 5 3 2" xfId="14918" xr:uid="{3696961F-E74B-4659-BD82-21F87838FAD9}"/>
    <cellStyle name="Normal 5 3 3 2 2 2 5 3 3" xfId="23365" xr:uid="{83A1C382-5D38-42E4-BE8A-839D2B19CD87}"/>
    <cellStyle name="Normal 5 3 3 2 2 2 5 4" xfId="10700" xr:uid="{764B5FCB-8406-4EFE-959B-973EBAFBD339}"/>
    <cellStyle name="Normal 5 3 3 2 2 2 5 5" xfId="19148" xr:uid="{4E9A7F61-8AFC-423D-BCD5-1A38C5ECACD9}"/>
    <cellStyle name="Normal 5 3 3 2 2 2 6" xfId="2598" xr:uid="{00000000-0005-0000-0000-000089190000}"/>
    <cellStyle name="Normal 5 3 3 2 2 2 6 2" xfId="6881" xr:uid="{00000000-0005-0000-0000-00008A190000}"/>
    <cellStyle name="Normal 5 3 3 2 2 2 6 2 2" xfId="15331" xr:uid="{01BE02A6-FF5C-45AD-962B-0605B3D85AF2}"/>
    <cellStyle name="Normal 5 3 3 2 2 2 6 2 3" xfId="23778" xr:uid="{F0A4CB3C-51D8-43F4-813D-A38B54D88510}"/>
    <cellStyle name="Normal 5 3 3 2 2 2 6 3" xfId="11113" xr:uid="{87A5800A-8EEA-4D83-96E9-9F200521C158}"/>
    <cellStyle name="Normal 5 3 3 2 2 2 6 4" xfId="19561" xr:uid="{0A3A7862-A304-4426-9A9D-4419B147D23D}"/>
    <cellStyle name="Normal 5 3 3 2 2 2 7" xfId="4816" xr:uid="{00000000-0005-0000-0000-00008B190000}"/>
    <cellStyle name="Normal 5 3 3 2 2 2 7 2" xfId="13266" xr:uid="{2E613659-64C0-4EF0-9E88-CC8EE48BAFEB}"/>
    <cellStyle name="Normal 5 3 3 2 2 2 7 3" xfId="21713" xr:uid="{89A63AE4-9145-40BF-9D46-2CA92359F837}"/>
    <cellStyle name="Normal 5 3 3 2 2 2 8" xfId="9048" xr:uid="{61590C63-A539-4767-89AD-BC693EC2D2AC}"/>
    <cellStyle name="Normal 5 3 3 2 2 2 9" xfId="17496" xr:uid="{AD2A491D-98C9-4AA8-AD06-807DA2067B9E}"/>
    <cellStyle name="Normal 5 3 3 2 2 3" xfId="917" xr:uid="{00000000-0005-0000-0000-00008C190000}"/>
    <cellStyle name="Normal 5 3 3 2 2 3 2" xfId="3151" xr:uid="{00000000-0005-0000-0000-00008D190000}"/>
    <cellStyle name="Normal 5 3 3 2 2 3 2 2" xfId="7373" xr:uid="{00000000-0005-0000-0000-00008E190000}"/>
    <cellStyle name="Normal 5 3 3 2 2 3 2 2 2" xfId="15823" xr:uid="{ECC24150-130D-4967-85AF-6AB037E0737A}"/>
    <cellStyle name="Normal 5 3 3 2 2 3 2 2 3" xfId="24270" xr:uid="{3A7241FC-83A0-4A4C-8D40-A4623F88B13D}"/>
    <cellStyle name="Normal 5 3 3 2 2 3 2 3" xfId="11605" xr:uid="{B2CD46A0-38BA-4C81-8DF1-D6ECF8C3DCFE}"/>
    <cellStyle name="Normal 5 3 3 2 2 3 2 4" xfId="20053" xr:uid="{163354F3-296D-456C-A999-CCCB973BEA51}"/>
    <cellStyle name="Normal 5 3 3 2 2 3 3" xfId="5228" xr:uid="{00000000-0005-0000-0000-00008F190000}"/>
    <cellStyle name="Normal 5 3 3 2 2 3 3 2" xfId="13678" xr:uid="{2D44239D-AA52-4E8D-960F-2F188C55A8FA}"/>
    <cellStyle name="Normal 5 3 3 2 2 3 3 3" xfId="22125" xr:uid="{9DEFB757-B96C-4CE4-9CC4-987B73CA966D}"/>
    <cellStyle name="Normal 5 3 3 2 2 3 4" xfId="9460" xr:uid="{00A133DA-EEBA-4E5A-8963-8AE42597A36F}"/>
    <cellStyle name="Normal 5 3 3 2 2 3 5" xfId="17908" xr:uid="{4B6852E3-AB3D-4FE8-89E2-5119DD5DF9D5}"/>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2 2 2" xfId="16236" xr:uid="{19BBD090-5937-45A9-8FF0-9C9DAB7F6925}"/>
    <cellStyle name="Normal 5 3 3 2 2 4 2 2 3" xfId="24683" xr:uid="{DBDE37BF-E93C-4AEC-8A7A-F07F640263EB}"/>
    <cellStyle name="Normal 5 3 3 2 2 4 2 3" xfId="12018" xr:uid="{83D15E29-AB68-4BC7-A09B-60D5316E9655}"/>
    <cellStyle name="Normal 5 3 3 2 2 4 2 4" xfId="20466" xr:uid="{8F903FD0-C5DD-4DF9-B823-30CC545C9618}"/>
    <cellStyle name="Normal 5 3 3 2 2 4 3" xfId="5641" xr:uid="{00000000-0005-0000-0000-000093190000}"/>
    <cellStyle name="Normal 5 3 3 2 2 4 3 2" xfId="14091" xr:uid="{24C75CA5-BEA5-472E-872D-4AA588DC8EB4}"/>
    <cellStyle name="Normal 5 3 3 2 2 4 3 3" xfId="22538" xr:uid="{104BA87F-9176-42CC-BAE4-6C1A100D42F2}"/>
    <cellStyle name="Normal 5 3 3 2 2 4 4" xfId="9873" xr:uid="{74D0B049-075A-4C7A-820F-C96972F226FD}"/>
    <cellStyle name="Normal 5 3 3 2 2 4 5" xfId="18321" xr:uid="{9B5CB459-2DCE-48E5-8CA6-9E6F9D010FC1}"/>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2 2 2" xfId="16649" xr:uid="{D6CB20ED-D4AB-4902-A610-7BC3277D0212}"/>
    <cellStyle name="Normal 5 3 3 2 2 5 2 2 3" xfId="25096" xr:uid="{A9BC93BD-3080-44A7-8EAD-87FD04E7119C}"/>
    <cellStyle name="Normal 5 3 3 2 2 5 2 3" xfId="12431" xr:uid="{0EF9E732-07C1-436B-9F76-2FC623110178}"/>
    <cellStyle name="Normal 5 3 3 2 2 5 2 4" xfId="20879" xr:uid="{82234F2A-9718-4E94-BA66-582384528663}"/>
    <cellStyle name="Normal 5 3 3 2 2 5 3" xfId="6054" xr:uid="{00000000-0005-0000-0000-000097190000}"/>
    <cellStyle name="Normal 5 3 3 2 2 5 3 2" xfId="14504" xr:uid="{A4C24E59-CA8A-4EFB-9BB0-8F5B86583268}"/>
    <cellStyle name="Normal 5 3 3 2 2 5 3 3" xfId="22951" xr:uid="{8B12E660-9F4B-4EAF-9F21-1CCF2AF2D649}"/>
    <cellStyle name="Normal 5 3 3 2 2 5 4" xfId="10286" xr:uid="{E897E7FE-8F3F-417A-A334-A1BF36A1C34E}"/>
    <cellStyle name="Normal 5 3 3 2 2 5 5" xfId="18734" xr:uid="{2D390D10-E61F-4DFB-ABB7-4DA2814BAABF}"/>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2 2 2" xfId="17062" xr:uid="{B41400BC-7F0B-4987-B4F5-714BB9D9ECCA}"/>
    <cellStyle name="Normal 5 3 3 2 2 6 2 2 3" xfId="25509" xr:uid="{DA0FB874-BC53-45A7-8955-08F784C34CEC}"/>
    <cellStyle name="Normal 5 3 3 2 2 6 2 3" xfId="12844" xr:uid="{9723C2AF-0EFF-4446-B97B-71E937ABD1F2}"/>
    <cellStyle name="Normal 5 3 3 2 2 6 2 4" xfId="21292" xr:uid="{F324E9DA-B6D5-4F1D-B675-55E983A02D75}"/>
    <cellStyle name="Normal 5 3 3 2 2 6 3" xfId="6467" xr:uid="{00000000-0005-0000-0000-00009B190000}"/>
    <cellStyle name="Normal 5 3 3 2 2 6 3 2" xfId="14917" xr:uid="{C9085A3C-B29E-405B-BD99-CFCC5DEBA4E7}"/>
    <cellStyle name="Normal 5 3 3 2 2 6 3 3" xfId="23364" xr:uid="{BF57B1B9-BDB1-4C33-8648-E452577C798B}"/>
    <cellStyle name="Normal 5 3 3 2 2 6 4" xfId="10699" xr:uid="{583081AB-FE12-4608-8AFA-F2C236903493}"/>
    <cellStyle name="Normal 5 3 3 2 2 6 5" xfId="19147" xr:uid="{43963399-749B-4C28-B938-6203AE032A92}"/>
    <cellStyle name="Normal 5 3 3 2 2 7" xfId="2597" xr:uid="{00000000-0005-0000-0000-00009C190000}"/>
    <cellStyle name="Normal 5 3 3 2 2 7 2" xfId="6880" xr:uid="{00000000-0005-0000-0000-00009D190000}"/>
    <cellStyle name="Normal 5 3 3 2 2 7 2 2" xfId="15330" xr:uid="{0B1BCC08-1405-487B-828E-E993AA752311}"/>
    <cellStyle name="Normal 5 3 3 2 2 7 2 3" xfId="23777" xr:uid="{29FC6078-11B4-4862-8658-651D78A1D328}"/>
    <cellStyle name="Normal 5 3 3 2 2 7 3" xfId="11112" xr:uid="{FC4C5020-369D-46A2-977A-280CDCDEAA5A}"/>
    <cellStyle name="Normal 5 3 3 2 2 7 4" xfId="19560" xr:uid="{F59189ED-E17B-41CE-876E-EB4EDC954BEF}"/>
    <cellStyle name="Normal 5 3 3 2 2 8" xfId="4815" xr:uid="{00000000-0005-0000-0000-00009E190000}"/>
    <cellStyle name="Normal 5 3 3 2 2 8 2" xfId="13265" xr:uid="{E364C000-772F-413A-80BD-BF4DEFDC233B}"/>
    <cellStyle name="Normal 5 3 3 2 2 8 3" xfId="21712" xr:uid="{28D1EF7A-8D30-4E9C-B21A-DE4F05515D85}"/>
    <cellStyle name="Normal 5 3 3 2 2 9" xfId="9047" xr:uid="{C7B858DC-40AE-405C-B370-CFBCBBF526FA}"/>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2 2 2" xfId="15825" xr:uid="{F305FA5A-0FF7-4E2D-B2C2-F96F86FD3124}"/>
    <cellStyle name="Normal 5 3 3 2 3 2 2 2 3" xfId="24272" xr:uid="{AC08CD53-D31A-4FF1-8555-75D7CBD9DD0E}"/>
    <cellStyle name="Normal 5 3 3 2 3 2 2 3" xfId="11607" xr:uid="{E3CA2D93-0486-416A-9EF4-326282483E84}"/>
    <cellStyle name="Normal 5 3 3 2 3 2 2 4" xfId="20055" xr:uid="{CA480F66-3F0D-427E-8581-2DCA90D7D004}"/>
    <cellStyle name="Normal 5 3 3 2 3 2 3" xfId="5230" xr:uid="{00000000-0005-0000-0000-0000A3190000}"/>
    <cellStyle name="Normal 5 3 3 2 3 2 3 2" xfId="13680" xr:uid="{CA500789-123D-4954-9071-5F6EEEA4C634}"/>
    <cellStyle name="Normal 5 3 3 2 3 2 3 3" xfId="22127" xr:uid="{8C179964-2560-4994-8300-220FA101719B}"/>
    <cellStyle name="Normal 5 3 3 2 3 2 4" xfId="9462" xr:uid="{FDA32F17-DEDE-4430-843A-D7B244EE53B3}"/>
    <cellStyle name="Normal 5 3 3 2 3 2 5" xfId="17910" xr:uid="{394378B5-B8AE-4478-B25C-55B9ED72C92F}"/>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2 2 2" xfId="16238" xr:uid="{3A1DA059-BA90-4E6D-A448-A9F2F0461EC1}"/>
    <cellStyle name="Normal 5 3 3 2 3 3 2 2 3" xfId="24685" xr:uid="{1281F8B2-38B6-42F6-BAC2-D99A96F3342E}"/>
    <cellStyle name="Normal 5 3 3 2 3 3 2 3" xfId="12020" xr:uid="{720D3BA5-4060-4503-AB92-38BC5E06681F}"/>
    <cellStyle name="Normal 5 3 3 2 3 3 2 4" xfId="20468" xr:uid="{0585387E-66F0-4627-9280-9F63512EB9DB}"/>
    <cellStyle name="Normal 5 3 3 2 3 3 3" xfId="5643" xr:uid="{00000000-0005-0000-0000-0000A7190000}"/>
    <cellStyle name="Normal 5 3 3 2 3 3 3 2" xfId="14093" xr:uid="{B0FEF426-8117-4225-9571-0C5DE52893B9}"/>
    <cellStyle name="Normal 5 3 3 2 3 3 3 3" xfId="22540" xr:uid="{8CD25986-A9B8-4C7A-91F9-8F8F8D171F95}"/>
    <cellStyle name="Normal 5 3 3 2 3 3 4" xfId="9875" xr:uid="{48E00388-9F12-4C2A-ADA6-945839BA1914}"/>
    <cellStyle name="Normal 5 3 3 2 3 3 5" xfId="18323" xr:uid="{70A9C200-BC3C-4E56-90B4-A593C0728ADF}"/>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2 2 2" xfId="16651" xr:uid="{BC590236-D5F1-4410-B4F1-4D5B19EA179F}"/>
    <cellStyle name="Normal 5 3 3 2 3 4 2 2 3" xfId="25098" xr:uid="{9DF7738F-0299-482D-961B-067E6B7CC7FC}"/>
    <cellStyle name="Normal 5 3 3 2 3 4 2 3" xfId="12433" xr:uid="{8BFF81EB-6289-4FDE-8150-26B164FBB0D9}"/>
    <cellStyle name="Normal 5 3 3 2 3 4 2 4" xfId="20881" xr:uid="{911EBAC2-C24B-43A1-99A4-34769D07A1BB}"/>
    <cellStyle name="Normal 5 3 3 2 3 4 3" xfId="6056" xr:uid="{00000000-0005-0000-0000-0000AB190000}"/>
    <cellStyle name="Normal 5 3 3 2 3 4 3 2" xfId="14506" xr:uid="{97B252E4-0D3A-44A5-ADDC-D7C0B6B833D3}"/>
    <cellStyle name="Normal 5 3 3 2 3 4 3 3" xfId="22953" xr:uid="{E0F7A911-6D4C-4478-B855-1EF12945ACFD}"/>
    <cellStyle name="Normal 5 3 3 2 3 4 4" xfId="10288" xr:uid="{DED68C49-82E1-44FF-9F9C-A4AC22A6BA12}"/>
    <cellStyle name="Normal 5 3 3 2 3 4 5" xfId="18736" xr:uid="{C006DDF9-9896-48E5-A9F3-E087327F3BE8}"/>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2 2 2" xfId="17064" xr:uid="{6F4F9AF7-BFE8-49C6-AA6B-6A00242DF7FC}"/>
    <cellStyle name="Normal 5 3 3 2 3 5 2 2 3" xfId="25511" xr:uid="{87F7E6A0-F56D-4BD5-8BDE-5B7295866572}"/>
    <cellStyle name="Normal 5 3 3 2 3 5 2 3" xfId="12846" xr:uid="{2F51054E-23BF-4A7E-AE30-3A70335C1175}"/>
    <cellStyle name="Normal 5 3 3 2 3 5 2 4" xfId="21294" xr:uid="{5959BCF4-8C58-4327-ADDE-2C0F86870D2A}"/>
    <cellStyle name="Normal 5 3 3 2 3 5 3" xfId="6469" xr:uid="{00000000-0005-0000-0000-0000AF190000}"/>
    <cellStyle name="Normal 5 3 3 2 3 5 3 2" xfId="14919" xr:uid="{47BC1356-5618-4CA6-A4BD-67B937068E37}"/>
    <cellStyle name="Normal 5 3 3 2 3 5 3 3" xfId="23366" xr:uid="{2D09E204-D475-4DBE-B28F-D76CE4AF7710}"/>
    <cellStyle name="Normal 5 3 3 2 3 5 4" xfId="10701" xr:uid="{181A48EA-67DD-49D2-8645-D40AD1889FB2}"/>
    <cellStyle name="Normal 5 3 3 2 3 5 5" xfId="19149" xr:uid="{2D216CFA-A859-429D-9E30-DA8A021BC015}"/>
    <cellStyle name="Normal 5 3 3 2 3 6" xfId="2599" xr:uid="{00000000-0005-0000-0000-0000B0190000}"/>
    <cellStyle name="Normal 5 3 3 2 3 6 2" xfId="6882" xr:uid="{00000000-0005-0000-0000-0000B1190000}"/>
    <cellStyle name="Normal 5 3 3 2 3 6 2 2" xfId="15332" xr:uid="{7A2D3F39-4B8F-47D0-825A-A7003F207FAB}"/>
    <cellStyle name="Normal 5 3 3 2 3 6 2 3" xfId="23779" xr:uid="{7E167748-6321-44E2-98CC-9F2C00A12039}"/>
    <cellStyle name="Normal 5 3 3 2 3 6 3" xfId="11114" xr:uid="{C0B8E1D9-D9FD-4AA5-A1F2-B8A1D14EB63E}"/>
    <cellStyle name="Normal 5 3 3 2 3 6 4" xfId="19562" xr:uid="{C2C979EF-2CFA-48F2-94B8-24368236A29D}"/>
    <cellStyle name="Normal 5 3 3 2 3 7" xfId="4817" xr:uid="{00000000-0005-0000-0000-0000B2190000}"/>
    <cellStyle name="Normal 5 3 3 2 3 7 2" xfId="13267" xr:uid="{61856F52-F264-4EEA-8456-891E52C0BF46}"/>
    <cellStyle name="Normal 5 3 3 2 3 7 3" xfId="21714" xr:uid="{FFFD31CF-257C-4877-9D46-1905CFB4BDEC}"/>
    <cellStyle name="Normal 5 3 3 2 3 8" xfId="9049" xr:uid="{CEC10F71-ED99-43A6-814D-149D5A2C2AD1}"/>
    <cellStyle name="Normal 5 3 3 2 3 9" xfId="17497" xr:uid="{8662D878-3082-4E5A-9005-9977D6A8E2E7}"/>
    <cellStyle name="Normal 5 3 3 2 4" xfId="916" xr:uid="{00000000-0005-0000-0000-0000B3190000}"/>
    <cellStyle name="Normal 5 3 3 2 4 2" xfId="3150" xr:uid="{00000000-0005-0000-0000-0000B4190000}"/>
    <cellStyle name="Normal 5 3 3 2 4 2 2" xfId="7372" xr:uid="{00000000-0005-0000-0000-0000B5190000}"/>
    <cellStyle name="Normal 5 3 3 2 4 2 2 2" xfId="15822" xr:uid="{A6D23169-945C-48F2-BB72-4F8F8FB743D5}"/>
    <cellStyle name="Normal 5 3 3 2 4 2 2 3" xfId="24269" xr:uid="{3A234D54-B6D6-404B-BBAE-83F2FC6E8593}"/>
    <cellStyle name="Normal 5 3 3 2 4 2 3" xfId="11604" xr:uid="{544C1A9D-12E8-4A05-9DE3-9D95EDE866BE}"/>
    <cellStyle name="Normal 5 3 3 2 4 2 4" xfId="20052" xr:uid="{B426F78C-1487-4711-8F4F-696436CA00E7}"/>
    <cellStyle name="Normal 5 3 3 2 4 3" xfId="5227" xr:uid="{00000000-0005-0000-0000-0000B6190000}"/>
    <cellStyle name="Normal 5 3 3 2 4 3 2" xfId="13677" xr:uid="{2AC68279-E143-4D6D-BB24-4902661F2C51}"/>
    <cellStyle name="Normal 5 3 3 2 4 3 3" xfId="22124" xr:uid="{776AE998-CF6E-4288-9D86-548299093B8E}"/>
    <cellStyle name="Normal 5 3 3 2 4 4" xfId="9459" xr:uid="{0148F92E-E73F-4A26-B69E-1E5288A17367}"/>
    <cellStyle name="Normal 5 3 3 2 4 5" xfId="17907" xr:uid="{4F1D8C13-7812-466B-ABE5-F3362115485F}"/>
    <cellStyle name="Normal 5 3 3 2 5" xfId="1333" xr:uid="{00000000-0005-0000-0000-0000B7190000}"/>
    <cellStyle name="Normal 5 3 3 2 5 2" xfId="3563" xr:uid="{00000000-0005-0000-0000-0000B8190000}"/>
    <cellStyle name="Normal 5 3 3 2 5 2 2" xfId="7785" xr:uid="{00000000-0005-0000-0000-0000B9190000}"/>
    <cellStyle name="Normal 5 3 3 2 5 2 2 2" xfId="16235" xr:uid="{B30CEE1D-8321-4344-B2FC-5F201F560BA0}"/>
    <cellStyle name="Normal 5 3 3 2 5 2 2 3" xfId="24682" xr:uid="{C364A1D9-0A82-40B4-BEE3-C83C0573F099}"/>
    <cellStyle name="Normal 5 3 3 2 5 2 3" xfId="12017" xr:uid="{CCA85F9A-F7D0-4DE5-9B9D-0111EF64992C}"/>
    <cellStyle name="Normal 5 3 3 2 5 2 4" xfId="20465" xr:uid="{43D97E0A-FDAE-4B04-A88B-35940D214E85}"/>
    <cellStyle name="Normal 5 3 3 2 5 3" xfId="5640" xr:uid="{00000000-0005-0000-0000-0000BA190000}"/>
    <cellStyle name="Normal 5 3 3 2 5 3 2" xfId="14090" xr:uid="{04A12257-9576-447E-8C18-FAB6F080CDDD}"/>
    <cellStyle name="Normal 5 3 3 2 5 3 3" xfId="22537" xr:uid="{4B4D7437-73BF-4987-8C6D-4E055538F3C0}"/>
    <cellStyle name="Normal 5 3 3 2 5 4" xfId="9872" xr:uid="{8AF303D7-9E60-4C57-89EE-7C944E126BCF}"/>
    <cellStyle name="Normal 5 3 3 2 5 5" xfId="18320" xr:uid="{357B9A26-C6CB-4145-9911-4C3B5B4DA91E}"/>
    <cellStyle name="Normal 5 3 3 2 6" xfId="1746" xr:uid="{00000000-0005-0000-0000-0000BB190000}"/>
    <cellStyle name="Normal 5 3 3 2 6 2" xfId="3976" xr:uid="{00000000-0005-0000-0000-0000BC190000}"/>
    <cellStyle name="Normal 5 3 3 2 6 2 2" xfId="8198" xr:uid="{00000000-0005-0000-0000-0000BD190000}"/>
    <cellStyle name="Normal 5 3 3 2 6 2 2 2" xfId="16648" xr:uid="{334B3EB7-7678-49C5-A07C-0BA786EC5169}"/>
    <cellStyle name="Normal 5 3 3 2 6 2 2 3" xfId="25095" xr:uid="{70876B54-7D32-454F-9DD1-3922D7A8176A}"/>
    <cellStyle name="Normal 5 3 3 2 6 2 3" xfId="12430" xr:uid="{FDC36080-BE1A-444B-B4BC-B5B0F7B56043}"/>
    <cellStyle name="Normal 5 3 3 2 6 2 4" xfId="20878" xr:uid="{1B7BF633-4717-47AE-BC62-F310A7BAA19C}"/>
    <cellStyle name="Normal 5 3 3 2 6 3" xfId="6053" xr:uid="{00000000-0005-0000-0000-0000BE190000}"/>
    <cellStyle name="Normal 5 3 3 2 6 3 2" xfId="14503" xr:uid="{CFCD2C4B-C6FC-42F1-96F7-E16AB78249DB}"/>
    <cellStyle name="Normal 5 3 3 2 6 3 3" xfId="22950" xr:uid="{50E05117-89EE-4F32-94B2-074A4166B2DE}"/>
    <cellStyle name="Normal 5 3 3 2 6 4" xfId="10285" xr:uid="{84D63C77-080C-4F1B-8D3D-456014DD3E46}"/>
    <cellStyle name="Normal 5 3 3 2 6 5" xfId="18733" xr:uid="{8890F633-1E6D-441A-B5EC-CC53478E107D}"/>
    <cellStyle name="Normal 5 3 3 2 7" xfId="2160" xr:uid="{00000000-0005-0000-0000-0000BF190000}"/>
    <cellStyle name="Normal 5 3 3 2 7 2" xfId="4389" xr:uid="{00000000-0005-0000-0000-0000C0190000}"/>
    <cellStyle name="Normal 5 3 3 2 7 2 2" xfId="8611" xr:uid="{00000000-0005-0000-0000-0000C1190000}"/>
    <cellStyle name="Normal 5 3 3 2 7 2 2 2" xfId="17061" xr:uid="{2D26F8E8-9396-48C6-BA91-BA33565DB5F9}"/>
    <cellStyle name="Normal 5 3 3 2 7 2 2 3" xfId="25508" xr:uid="{38BAC17D-9CF4-4417-8D9E-BB0C1B793BDB}"/>
    <cellStyle name="Normal 5 3 3 2 7 2 3" xfId="12843" xr:uid="{6BE8460C-B479-40A8-B294-B51A3B0E961C}"/>
    <cellStyle name="Normal 5 3 3 2 7 2 4" xfId="21291" xr:uid="{2CFE9D90-4992-4B81-8601-DC28370F527F}"/>
    <cellStyle name="Normal 5 3 3 2 7 3" xfId="6466" xr:uid="{00000000-0005-0000-0000-0000C2190000}"/>
    <cellStyle name="Normal 5 3 3 2 7 3 2" xfId="14916" xr:uid="{F5AEBCA1-6492-42FF-AB60-5537ED7232B7}"/>
    <cellStyle name="Normal 5 3 3 2 7 3 3" xfId="23363" xr:uid="{AB3FC5DE-BC78-4AA4-8D4B-DA1CF3BEF066}"/>
    <cellStyle name="Normal 5 3 3 2 7 4" xfId="10698" xr:uid="{1F7A0400-2591-44DE-9477-3570BC58CDEC}"/>
    <cellStyle name="Normal 5 3 3 2 7 5" xfId="19146" xr:uid="{97254075-E889-4A89-801C-43E11932CFFD}"/>
    <cellStyle name="Normal 5 3 3 2 8" xfId="2596" xr:uid="{00000000-0005-0000-0000-0000C3190000}"/>
    <cellStyle name="Normal 5 3 3 2 8 2" xfId="6879" xr:uid="{00000000-0005-0000-0000-0000C4190000}"/>
    <cellStyle name="Normal 5 3 3 2 8 2 2" xfId="15329" xr:uid="{EC7C4496-B9EF-47DD-8B1A-F63B7597A602}"/>
    <cellStyle name="Normal 5 3 3 2 8 2 3" xfId="23776" xr:uid="{62112F76-4140-4688-AABB-B0BE2CC045C6}"/>
    <cellStyle name="Normal 5 3 3 2 8 3" xfId="11111" xr:uid="{8738CCC6-49C8-4C65-82B9-BD434C978F98}"/>
    <cellStyle name="Normal 5 3 3 2 8 4" xfId="19559" xr:uid="{DEEB2903-16D5-4EA1-B014-5C4E8D16EDD6}"/>
    <cellStyle name="Normal 5 3 3 2 9" xfId="4814" xr:uid="{00000000-0005-0000-0000-0000C5190000}"/>
    <cellStyle name="Normal 5 3 3 2 9 2" xfId="13264" xr:uid="{85A5D1D3-A462-48BA-9AF5-6AC0CE41E6F5}"/>
    <cellStyle name="Normal 5 3 3 2 9 3" xfId="21711" xr:uid="{2E4658A7-2239-411E-8820-1D6FCEC14CC5}"/>
    <cellStyle name="Normal 5 3 3 3" xfId="446" xr:uid="{00000000-0005-0000-0000-0000C6190000}"/>
    <cellStyle name="Normal 5 3 3 3 10" xfId="17498" xr:uid="{C2E1ED46-27F5-40AD-BEE4-1C252EF998FC}"/>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2 2 2" xfId="15827" xr:uid="{9C27847D-0ABC-482F-BDC4-EE08E955B651}"/>
    <cellStyle name="Normal 5 3 3 3 2 2 2 2 3" xfId="24274" xr:uid="{795604BD-2C97-45E9-9E11-8B6D54383601}"/>
    <cellStyle name="Normal 5 3 3 3 2 2 2 3" xfId="11609" xr:uid="{E96E0E4E-C0A9-4CBB-A2BF-674A4FF32851}"/>
    <cellStyle name="Normal 5 3 3 3 2 2 2 4" xfId="20057" xr:uid="{C54D7F2C-6FFD-417E-BA41-E0A6CCEAA729}"/>
    <cellStyle name="Normal 5 3 3 3 2 2 3" xfId="5232" xr:uid="{00000000-0005-0000-0000-0000CB190000}"/>
    <cellStyle name="Normal 5 3 3 3 2 2 3 2" xfId="13682" xr:uid="{33C85648-F4A3-4917-A069-D294126DE677}"/>
    <cellStyle name="Normal 5 3 3 3 2 2 3 3" xfId="22129" xr:uid="{785803CC-AE0B-437A-A0A9-BB7EDA9E3D4A}"/>
    <cellStyle name="Normal 5 3 3 3 2 2 4" xfId="9464" xr:uid="{B63C93AA-64FD-4139-8532-A65905154EBB}"/>
    <cellStyle name="Normal 5 3 3 3 2 2 5" xfId="17912" xr:uid="{448213D4-570E-4FAB-9A4F-D62A8AF02EF2}"/>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2 2 2" xfId="16240" xr:uid="{144064AD-A575-488E-8D58-D621A02AEC0D}"/>
    <cellStyle name="Normal 5 3 3 3 2 3 2 2 3" xfId="24687" xr:uid="{18399AAB-FDC7-4AE9-803B-4FAA328233A3}"/>
    <cellStyle name="Normal 5 3 3 3 2 3 2 3" xfId="12022" xr:uid="{E24C873D-345B-4517-B7BA-7A5B4EAC5D79}"/>
    <cellStyle name="Normal 5 3 3 3 2 3 2 4" xfId="20470" xr:uid="{CAAE3672-AEB1-4DBF-9BEF-9A5DF30224D0}"/>
    <cellStyle name="Normal 5 3 3 3 2 3 3" xfId="5645" xr:uid="{00000000-0005-0000-0000-0000CF190000}"/>
    <cellStyle name="Normal 5 3 3 3 2 3 3 2" xfId="14095" xr:uid="{97EB1C4C-EE92-4410-86E8-43C88FE6C3AB}"/>
    <cellStyle name="Normal 5 3 3 3 2 3 3 3" xfId="22542" xr:uid="{AB3DB022-C12A-42A4-80C5-510DBF10D49E}"/>
    <cellStyle name="Normal 5 3 3 3 2 3 4" xfId="9877" xr:uid="{BFF840DB-6247-4F0E-B204-0299F2CD52DF}"/>
    <cellStyle name="Normal 5 3 3 3 2 3 5" xfId="18325" xr:uid="{7573D75B-3E49-44F7-B236-3A5B56C37B53}"/>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2 2 2" xfId="16653" xr:uid="{F316D149-A5EE-4FA8-AEE2-715D72070382}"/>
    <cellStyle name="Normal 5 3 3 3 2 4 2 2 3" xfId="25100" xr:uid="{CE17D8ED-4006-4464-B869-8FA950F134B6}"/>
    <cellStyle name="Normal 5 3 3 3 2 4 2 3" xfId="12435" xr:uid="{7A5D64B8-61A4-41A5-81D1-F8C8538D8DF3}"/>
    <cellStyle name="Normal 5 3 3 3 2 4 2 4" xfId="20883" xr:uid="{B5AA2830-1B1F-4BC6-9C3C-4FC1BE05E854}"/>
    <cellStyle name="Normal 5 3 3 3 2 4 3" xfId="6058" xr:uid="{00000000-0005-0000-0000-0000D3190000}"/>
    <cellStyle name="Normal 5 3 3 3 2 4 3 2" xfId="14508" xr:uid="{B3E91539-33CF-48A4-9294-CE98C88BB324}"/>
    <cellStyle name="Normal 5 3 3 3 2 4 3 3" xfId="22955" xr:uid="{3DF29A36-1526-4AFA-AB82-17C6AB000B3A}"/>
    <cellStyle name="Normal 5 3 3 3 2 4 4" xfId="10290" xr:uid="{E1A42112-25C6-4E07-B80B-9C007A7CC313}"/>
    <cellStyle name="Normal 5 3 3 3 2 4 5" xfId="18738" xr:uid="{7AE683EF-6824-4E12-9CB0-AB7AFC7782CA}"/>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2 2 2" xfId="17066" xr:uid="{19C8CA1E-25EF-4ACE-B3CA-8112DECDCDA8}"/>
    <cellStyle name="Normal 5 3 3 3 2 5 2 2 3" xfId="25513" xr:uid="{3E3B57AE-E9A2-4633-A296-7FC918782BA9}"/>
    <cellStyle name="Normal 5 3 3 3 2 5 2 3" xfId="12848" xr:uid="{4A9D1A1F-CEDF-40E1-A104-7E8B481EEFC5}"/>
    <cellStyle name="Normal 5 3 3 3 2 5 2 4" xfId="21296" xr:uid="{533ED3BE-FCE5-456D-BEAA-0D8C1EC2803A}"/>
    <cellStyle name="Normal 5 3 3 3 2 5 3" xfId="6471" xr:uid="{00000000-0005-0000-0000-0000D7190000}"/>
    <cellStyle name="Normal 5 3 3 3 2 5 3 2" xfId="14921" xr:uid="{A08F1125-DF4A-4099-B0F8-FC73B77A80C2}"/>
    <cellStyle name="Normal 5 3 3 3 2 5 3 3" xfId="23368" xr:uid="{ABEF4B84-82A2-450C-9F6A-2A88150951AD}"/>
    <cellStyle name="Normal 5 3 3 3 2 5 4" xfId="10703" xr:uid="{9037B0A1-9141-4067-A8C0-B2F38849DFFB}"/>
    <cellStyle name="Normal 5 3 3 3 2 5 5" xfId="19151" xr:uid="{24ACF9C0-0D41-4313-9E25-C6DFFA1329A7}"/>
    <cellStyle name="Normal 5 3 3 3 2 6" xfId="2601" xr:uid="{00000000-0005-0000-0000-0000D8190000}"/>
    <cellStyle name="Normal 5 3 3 3 2 6 2" xfId="6884" xr:uid="{00000000-0005-0000-0000-0000D9190000}"/>
    <cellStyle name="Normal 5 3 3 3 2 6 2 2" xfId="15334" xr:uid="{02B71873-5819-4D27-AE09-0B9BF3F4EBCA}"/>
    <cellStyle name="Normal 5 3 3 3 2 6 2 3" xfId="23781" xr:uid="{0656264A-2472-44D9-B25C-7B61615B18E5}"/>
    <cellStyle name="Normal 5 3 3 3 2 6 3" xfId="11116" xr:uid="{ED25C7DA-E37E-4756-8CDA-40F10383488E}"/>
    <cellStyle name="Normal 5 3 3 3 2 6 4" xfId="19564" xr:uid="{5B88F1DD-0614-4A5C-A512-A0AE02486E06}"/>
    <cellStyle name="Normal 5 3 3 3 2 7" xfId="4819" xr:uid="{00000000-0005-0000-0000-0000DA190000}"/>
    <cellStyle name="Normal 5 3 3 3 2 7 2" xfId="13269" xr:uid="{1745EEEE-DE3E-42A8-A776-FC72D6C3F2DD}"/>
    <cellStyle name="Normal 5 3 3 3 2 7 3" xfId="21716" xr:uid="{FEF9531B-656F-45D1-94C7-B0B9100638F1}"/>
    <cellStyle name="Normal 5 3 3 3 2 8" xfId="9051" xr:uid="{261B79EB-82F3-436F-946D-AC93358EA38E}"/>
    <cellStyle name="Normal 5 3 3 3 2 9" xfId="17499" xr:uid="{97571354-DE96-433D-A1A9-171C8080F46F}"/>
    <cellStyle name="Normal 5 3 3 3 3" xfId="920" xr:uid="{00000000-0005-0000-0000-0000DB190000}"/>
    <cellStyle name="Normal 5 3 3 3 3 2" xfId="3154" xr:uid="{00000000-0005-0000-0000-0000DC190000}"/>
    <cellStyle name="Normal 5 3 3 3 3 2 2" xfId="7376" xr:uid="{00000000-0005-0000-0000-0000DD190000}"/>
    <cellStyle name="Normal 5 3 3 3 3 2 2 2" xfId="15826" xr:uid="{F63ED8DF-AADA-4446-8864-D1C19E029906}"/>
    <cellStyle name="Normal 5 3 3 3 3 2 2 3" xfId="24273" xr:uid="{058F81C1-C358-4DE1-87F4-282E049F1786}"/>
    <cellStyle name="Normal 5 3 3 3 3 2 3" xfId="11608" xr:uid="{6C7E0245-1138-4FFC-89AF-4789DD6D18E4}"/>
    <cellStyle name="Normal 5 3 3 3 3 2 4" xfId="20056" xr:uid="{C0E22990-11CA-4163-8304-629A8F488121}"/>
    <cellStyle name="Normal 5 3 3 3 3 3" xfId="5231" xr:uid="{00000000-0005-0000-0000-0000DE190000}"/>
    <cellStyle name="Normal 5 3 3 3 3 3 2" xfId="13681" xr:uid="{F0A0D2EB-524D-416F-8739-92844CC974DF}"/>
    <cellStyle name="Normal 5 3 3 3 3 3 3" xfId="22128" xr:uid="{DB1EAA8D-A7A2-4B9B-914F-95BF6217B038}"/>
    <cellStyle name="Normal 5 3 3 3 3 4" xfId="9463" xr:uid="{B106D448-A9B4-48A5-B474-550E00EC2E7C}"/>
    <cellStyle name="Normal 5 3 3 3 3 5" xfId="17911" xr:uid="{AC29A875-3749-42AF-B319-E2D74A06B856}"/>
    <cellStyle name="Normal 5 3 3 3 4" xfId="1337" xr:uid="{00000000-0005-0000-0000-0000DF190000}"/>
    <cellStyle name="Normal 5 3 3 3 4 2" xfId="3567" xr:uid="{00000000-0005-0000-0000-0000E0190000}"/>
    <cellStyle name="Normal 5 3 3 3 4 2 2" xfId="7789" xr:uid="{00000000-0005-0000-0000-0000E1190000}"/>
    <cellStyle name="Normal 5 3 3 3 4 2 2 2" xfId="16239" xr:uid="{F83ACCD5-AEFC-487C-8EE9-81D260706419}"/>
    <cellStyle name="Normal 5 3 3 3 4 2 2 3" xfId="24686" xr:uid="{69CF8F0A-F5EE-4042-9DFB-5D784579F1CD}"/>
    <cellStyle name="Normal 5 3 3 3 4 2 3" xfId="12021" xr:uid="{B353C3D0-5192-4D3C-834A-F153530C1E19}"/>
    <cellStyle name="Normal 5 3 3 3 4 2 4" xfId="20469" xr:uid="{99CCFCA9-5BAF-463C-879F-E7E48C56D270}"/>
    <cellStyle name="Normal 5 3 3 3 4 3" xfId="5644" xr:uid="{00000000-0005-0000-0000-0000E2190000}"/>
    <cellStyle name="Normal 5 3 3 3 4 3 2" xfId="14094" xr:uid="{26E709D8-D0F1-4C24-8AA2-602E876A8AEF}"/>
    <cellStyle name="Normal 5 3 3 3 4 3 3" xfId="22541" xr:uid="{78F942E0-955A-43C9-9381-36B19F2091B0}"/>
    <cellStyle name="Normal 5 3 3 3 4 4" xfId="9876" xr:uid="{51A4FD25-6F67-41A5-85A6-961238092E7B}"/>
    <cellStyle name="Normal 5 3 3 3 4 5" xfId="18324" xr:uid="{4A6F6DFF-77E5-4A63-BB7A-5C1D2574D1A1}"/>
    <cellStyle name="Normal 5 3 3 3 5" xfId="1750" xr:uid="{00000000-0005-0000-0000-0000E3190000}"/>
    <cellStyle name="Normal 5 3 3 3 5 2" xfId="3980" xr:uid="{00000000-0005-0000-0000-0000E4190000}"/>
    <cellStyle name="Normal 5 3 3 3 5 2 2" xfId="8202" xr:uid="{00000000-0005-0000-0000-0000E5190000}"/>
    <cellStyle name="Normal 5 3 3 3 5 2 2 2" xfId="16652" xr:uid="{E2E35E37-460F-4F37-BE22-3F08F07B17C9}"/>
    <cellStyle name="Normal 5 3 3 3 5 2 2 3" xfId="25099" xr:uid="{9CA054F9-A860-43A7-A831-B620637EB146}"/>
    <cellStyle name="Normal 5 3 3 3 5 2 3" xfId="12434" xr:uid="{C0D80A2C-43CC-4EEA-AEDE-11A29FD09196}"/>
    <cellStyle name="Normal 5 3 3 3 5 2 4" xfId="20882" xr:uid="{B8A283EA-BEF4-4E82-A3D8-54688327628D}"/>
    <cellStyle name="Normal 5 3 3 3 5 3" xfId="6057" xr:uid="{00000000-0005-0000-0000-0000E6190000}"/>
    <cellStyle name="Normal 5 3 3 3 5 3 2" xfId="14507" xr:uid="{BA833DE0-D92C-4E79-AD57-214027D7C97A}"/>
    <cellStyle name="Normal 5 3 3 3 5 3 3" xfId="22954" xr:uid="{DD57A173-5EAC-43EE-8FA1-F54A8DEEE9C5}"/>
    <cellStyle name="Normal 5 3 3 3 5 4" xfId="10289" xr:uid="{A57593D6-B54D-4399-8DC9-1CE385183EE9}"/>
    <cellStyle name="Normal 5 3 3 3 5 5" xfId="18737" xr:uid="{BF3D6864-7054-4BA7-9DC1-C75EC673A542}"/>
    <cellStyle name="Normal 5 3 3 3 6" xfId="2164" xr:uid="{00000000-0005-0000-0000-0000E7190000}"/>
    <cellStyle name="Normal 5 3 3 3 6 2" xfId="4393" xr:uid="{00000000-0005-0000-0000-0000E8190000}"/>
    <cellStyle name="Normal 5 3 3 3 6 2 2" xfId="8615" xr:uid="{00000000-0005-0000-0000-0000E9190000}"/>
    <cellStyle name="Normal 5 3 3 3 6 2 2 2" xfId="17065" xr:uid="{131CD99E-CAF1-4E12-A3E5-6706B6A46C69}"/>
    <cellStyle name="Normal 5 3 3 3 6 2 2 3" xfId="25512" xr:uid="{B85CC656-DC17-46B2-93D4-CED7CEB3A395}"/>
    <cellStyle name="Normal 5 3 3 3 6 2 3" xfId="12847" xr:uid="{B9FAF786-1E61-4D44-81C3-6B7AD945EEBC}"/>
    <cellStyle name="Normal 5 3 3 3 6 2 4" xfId="21295" xr:uid="{46880485-5058-43B0-9454-2031B4A6903F}"/>
    <cellStyle name="Normal 5 3 3 3 6 3" xfId="6470" xr:uid="{00000000-0005-0000-0000-0000EA190000}"/>
    <cellStyle name="Normal 5 3 3 3 6 3 2" xfId="14920" xr:uid="{98315387-8B56-4762-81A9-866CBB58B92C}"/>
    <cellStyle name="Normal 5 3 3 3 6 3 3" xfId="23367" xr:uid="{70353AAA-E4F9-4BE2-B5F4-379CCF2FF545}"/>
    <cellStyle name="Normal 5 3 3 3 6 4" xfId="10702" xr:uid="{D038E5BF-3F40-49DE-B440-C8729B09E259}"/>
    <cellStyle name="Normal 5 3 3 3 6 5" xfId="19150" xr:uid="{D005457F-0B8C-40C7-8368-C356ED750A1D}"/>
    <cellStyle name="Normal 5 3 3 3 7" xfId="2600" xr:uid="{00000000-0005-0000-0000-0000EB190000}"/>
    <cellStyle name="Normal 5 3 3 3 7 2" xfId="6883" xr:uid="{00000000-0005-0000-0000-0000EC190000}"/>
    <cellStyle name="Normal 5 3 3 3 7 2 2" xfId="15333" xr:uid="{43E76C02-5C4F-49F9-983F-2CE78C93822B}"/>
    <cellStyle name="Normal 5 3 3 3 7 2 3" xfId="23780" xr:uid="{AC69F5E8-7872-4030-97A7-E11225E7D19E}"/>
    <cellStyle name="Normal 5 3 3 3 7 3" xfId="11115" xr:uid="{D33A8ACF-53B0-4680-BA67-147D0990CE71}"/>
    <cellStyle name="Normal 5 3 3 3 7 4" xfId="19563" xr:uid="{93331FE1-8D3B-4BE7-AA17-AC257EB2018D}"/>
    <cellStyle name="Normal 5 3 3 3 8" xfId="4818" xr:uid="{00000000-0005-0000-0000-0000ED190000}"/>
    <cellStyle name="Normal 5 3 3 3 8 2" xfId="13268" xr:uid="{DC414779-731D-43AA-BDA4-F4BFB098D5EB}"/>
    <cellStyle name="Normal 5 3 3 3 8 3" xfId="21715" xr:uid="{82E272D2-D24C-48DB-B41B-3E6E33346A3E}"/>
    <cellStyle name="Normal 5 3 3 3 9" xfId="9050" xr:uid="{E1F98509-2FFB-4A97-B495-A4EB255CB4EB}"/>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2 2 2" xfId="15828" xr:uid="{9B8B40FF-8FD1-4F94-A532-BD452B73E8AC}"/>
    <cellStyle name="Normal 5 3 3 4 2 2 2 3" xfId="24275" xr:uid="{09F389C8-36D9-4A9F-9AC0-401C6608720E}"/>
    <cellStyle name="Normal 5 3 3 4 2 2 3" xfId="11610" xr:uid="{6F46B6C2-3358-447B-978E-52308A8E0441}"/>
    <cellStyle name="Normal 5 3 3 4 2 2 4" xfId="20058" xr:uid="{23104CFE-C4D9-49AF-99FE-48E877C8A976}"/>
    <cellStyle name="Normal 5 3 3 4 2 3" xfId="5233" xr:uid="{00000000-0005-0000-0000-0000F2190000}"/>
    <cellStyle name="Normal 5 3 3 4 2 3 2" xfId="13683" xr:uid="{56D01651-C9F1-4C98-90F5-91AD219C0BDB}"/>
    <cellStyle name="Normal 5 3 3 4 2 3 3" xfId="22130" xr:uid="{C71FAD5F-DE2F-409C-9F8B-F8C97547D0DE}"/>
    <cellStyle name="Normal 5 3 3 4 2 4" xfId="9465" xr:uid="{F8873162-2B92-40F1-B0C9-70C102E2FA34}"/>
    <cellStyle name="Normal 5 3 3 4 2 5" xfId="17913" xr:uid="{566875E2-63CF-449E-956D-C215CAD22A7E}"/>
    <cellStyle name="Normal 5 3 3 4 3" xfId="1339" xr:uid="{00000000-0005-0000-0000-0000F3190000}"/>
    <cellStyle name="Normal 5 3 3 4 3 2" xfId="3569" xr:uid="{00000000-0005-0000-0000-0000F4190000}"/>
    <cellStyle name="Normal 5 3 3 4 3 2 2" xfId="7791" xr:uid="{00000000-0005-0000-0000-0000F5190000}"/>
    <cellStyle name="Normal 5 3 3 4 3 2 2 2" xfId="16241" xr:uid="{18418E2E-F86F-4D58-A811-60A0D91A4215}"/>
    <cellStyle name="Normal 5 3 3 4 3 2 2 3" xfId="24688" xr:uid="{8B1EC6BF-D62B-45A5-BB56-73650F952C3D}"/>
    <cellStyle name="Normal 5 3 3 4 3 2 3" xfId="12023" xr:uid="{EC1D1957-F398-4FA2-893C-902126227039}"/>
    <cellStyle name="Normal 5 3 3 4 3 2 4" xfId="20471" xr:uid="{6B729CD5-6755-4A6F-BDB1-23BC9BC3F3A2}"/>
    <cellStyle name="Normal 5 3 3 4 3 3" xfId="5646" xr:uid="{00000000-0005-0000-0000-0000F6190000}"/>
    <cellStyle name="Normal 5 3 3 4 3 3 2" xfId="14096" xr:uid="{5EDF61CB-61BE-49AE-BB32-E7913CF37FFD}"/>
    <cellStyle name="Normal 5 3 3 4 3 3 3" xfId="22543" xr:uid="{61D3EC04-6E16-4867-B9E5-EF9A33F2342D}"/>
    <cellStyle name="Normal 5 3 3 4 3 4" xfId="9878" xr:uid="{E90F506E-4F99-4E79-951A-42FB3E3E9F36}"/>
    <cellStyle name="Normal 5 3 3 4 3 5" xfId="18326" xr:uid="{8FE64DBE-6A4D-44BC-A38C-B150D714E421}"/>
    <cellStyle name="Normal 5 3 3 4 4" xfId="1752" xr:uid="{00000000-0005-0000-0000-0000F7190000}"/>
    <cellStyle name="Normal 5 3 3 4 4 2" xfId="3982" xr:uid="{00000000-0005-0000-0000-0000F8190000}"/>
    <cellStyle name="Normal 5 3 3 4 4 2 2" xfId="8204" xr:uid="{00000000-0005-0000-0000-0000F9190000}"/>
    <cellStyle name="Normal 5 3 3 4 4 2 2 2" xfId="16654" xr:uid="{1F328D69-CF36-4B8D-819D-2A94CFA937A0}"/>
    <cellStyle name="Normal 5 3 3 4 4 2 2 3" xfId="25101" xr:uid="{DEF52B38-94BA-46C7-8498-B7DF900C762D}"/>
    <cellStyle name="Normal 5 3 3 4 4 2 3" xfId="12436" xr:uid="{E19ED599-1BB5-412F-B71B-BAD0D34300EA}"/>
    <cellStyle name="Normal 5 3 3 4 4 2 4" xfId="20884" xr:uid="{9BCA6177-FD56-4151-853B-EF0D1539410B}"/>
    <cellStyle name="Normal 5 3 3 4 4 3" xfId="6059" xr:uid="{00000000-0005-0000-0000-0000FA190000}"/>
    <cellStyle name="Normal 5 3 3 4 4 3 2" xfId="14509" xr:uid="{4FC43003-ADEE-46D6-B49B-018A4299908C}"/>
    <cellStyle name="Normal 5 3 3 4 4 3 3" xfId="22956" xr:uid="{95C3799A-6357-46B1-A8E7-8D2EEAC1F2F7}"/>
    <cellStyle name="Normal 5 3 3 4 4 4" xfId="10291" xr:uid="{A0A5EC32-B224-428C-922B-6C0C7602EB56}"/>
    <cellStyle name="Normal 5 3 3 4 4 5" xfId="18739" xr:uid="{1EFB9347-5B25-4715-88A8-652AE4B6C7CD}"/>
    <cellStyle name="Normal 5 3 3 4 5" xfId="2166" xr:uid="{00000000-0005-0000-0000-0000FB190000}"/>
    <cellStyle name="Normal 5 3 3 4 5 2" xfId="4395" xr:uid="{00000000-0005-0000-0000-0000FC190000}"/>
    <cellStyle name="Normal 5 3 3 4 5 2 2" xfId="8617" xr:uid="{00000000-0005-0000-0000-0000FD190000}"/>
    <cellStyle name="Normal 5 3 3 4 5 2 2 2" xfId="17067" xr:uid="{78767A47-0FF5-48B5-B9BF-51D848C21BAE}"/>
    <cellStyle name="Normal 5 3 3 4 5 2 2 3" xfId="25514" xr:uid="{EA64C8EE-1774-4D10-9B46-87E4D7378D3D}"/>
    <cellStyle name="Normal 5 3 3 4 5 2 3" xfId="12849" xr:uid="{48A74AEB-9BFE-4707-AE21-4E5ED05F438F}"/>
    <cellStyle name="Normal 5 3 3 4 5 2 4" xfId="21297" xr:uid="{157ACA58-D053-4C39-BA89-002B3913015E}"/>
    <cellStyle name="Normal 5 3 3 4 5 3" xfId="6472" xr:uid="{00000000-0005-0000-0000-0000FE190000}"/>
    <cellStyle name="Normal 5 3 3 4 5 3 2" xfId="14922" xr:uid="{EC4DE0A1-5FDA-43A7-BE07-B2C63536A666}"/>
    <cellStyle name="Normal 5 3 3 4 5 3 3" xfId="23369" xr:uid="{43F0FE92-8E22-48EC-AD67-23C6BBB319A2}"/>
    <cellStyle name="Normal 5 3 3 4 5 4" xfId="10704" xr:uid="{38753A12-4C17-41EF-9BA5-6DEF519D425F}"/>
    <cellStyle name="Normal 5 3 3 4 5 5" xfId="19152" xr:uid="{306C20D5-1A4C-4A73-8C78-39BF890CE2D5}"/>
    <cellStyle name="Normal 5 3 3 4 6" xfId="2602" xr:uid="{00000000-0005-0000-0000-0000FF190000}"/>
    <cellStyle name="Normal 5 3 3 4 6 2" xfId="6885" xr:uid="{00000000-0005-0000-0000-0000001A0000}"/>
    <cellStyle name="Normal 5 3 3 4 6 2 2" xfId="15335" xr:uid="{9FB2F0EA-8D22-44B5-BCD7-46AFEBE79476}"/>
    <cellStyle name="Normal 5 3 3 4 6 2 3" xfId="23782" xr:uid="{5A4F96B5-263B-42D6-AFB2-1FDFC5A471E5}"/>
    <cellStyle name="Normal 5 3 3 4 6 3" xfId="11117" xr:uid="{9B1C000A-0C6C-4940-BB38-FAFEF8CCC4A4}"/>
    <cellStyle name="Normal 5 3 3 4 6 4" xfId="19565" xr:uid="{A7884725-90BE-4012-9733-26764FAA65AF}"/>
    <cellStyle name="Normal 5 3 3 4 7" xfId="4820" xr:uid="{00000000-0005-0000-0000-0000011A0000}"/>
    <cellStyle name="Normal 5 3 3 4 7 2" xfId="13270" xr:uid="{60EE1969-DCD9-4FC3-947C-216B07455F47}"/>
    <cellStyle name="Normal 5 3 3 4 7 3" xfId="21717" xr:uid="{6137398A-DF05-4F9A-97B7-C01434B2B344}"/>
    <cellStyle name="Normal 5 3 3 4 8" xfId="9052" xr:uid="{5DE189E9-9264-4DC8-8DAF-39A737459ADB}"/>
    <cellStyle name="Normal 5 3 3 4 9" xfId="17500" xr:uid="{6690F871-6E81-43EE-9F7F-FF0AB5A65479}"/>
    <cellStyle name="Normal 5 3 3 5" xfId="915" xr:uid="{00000000-0005-0000-0000-0000021A0000}"/>
    <cellStyle name="Normal 5 3 3 5 2" xfId="3149" xr:uid="{00000000-0005-0000-0000-0000031A0000}"/>
    <cellStyle name="Normal 5 3 3 5 2 2" xfId="7371" xr:uid="{00000000-0005-0000-0000-0000041A0000}"/>
    <cellStyle name="Normal 5 3 3 5 2 2 2" xfId="15821" xr:uid="{5CE747F0-E14A-42CD-A4E0-6761DC51FBA1}"/>
    <cellStyle name="Normal 5 3 3 5 2 2 3" xfId="24268" xr:uid="{8C98A3E9-8608-4730-8E28-6E4C06BD1D78}"/>
    <cellStyle name="Normal 5 3 3 5 2 3" xfId="11603" xr:uid="{AC3A3CC9-B27C-4098-B89B-1D9B9929A5EF}"/>
    <cellStyle name="Normal 5 3 3 5 2 4" xfId="20051" xr:uid="{0B8BABA9-8633-4E0F-A534-83C2407D47D2}"/>
    <cellStyle name="Normal 5 3 3 5 3" xfId="5226" xr:uid="{00000000-0005-0000-0000-0000051A0000}"/>
    <cellStyle name="Normal 5 3 3 5 3 2" xfId="13676" xr:uid="{EB3E603E-316F-4BAE-A3C4-C66FD4A2B2E1}"/>
    <cellStyle name="Normal 5 3 3 5 3 3" xfId="22123" xr:uid="{F48AF12B-5EFF-4466-9EE3-70CF1A94D23E}"/>
    <cellStyle name="Normal 5 3 3 5 4" xfId="9458" xr:uid="{3CBEC1BC-AAE2-4B3F-BA0E-C6BDC3FEBABC}"/>
    <cellStyle name="Normal 5 3 3 5 5" xfId="17906" xr:uid="{83E80B02-8C16-4091-959B-5A6893CAAFB5}"/>
    <cellStyle name="Normal 5 3 3 6" xfId="1332" xr:uid="{00000000-0005-0000-0000-0000061A0000}"/>
    <cellStyle name="Normal 5 3 3 6 2" xfId="3562" xr:uid="{00000000-0005-0000-0000-0000071A0000}"/>
    <cellStyle name="Normal 5 3 3 6 2 2" xfId="7784" xr:uid="{00000000-0005-0000-0000-0000081A0000}"/>
    <cellStyle name="Normal 5 3 3 6 2 2 2" xfId="16234" xr:uid="{D36B07C2-6835-4429-939C-0FDF4DEFA6B0}"/>
    <cellStyle name="Normal 5 3 3 6 2 2 3" xfId="24681" xr:uid="{4B11AE48-9BE9-4ED1-8BCD-E1CB7E7B2B47}"/>
    <cellStyle name="Normal 5 3 3 6 2 3" xfId="12016" xr:uid="{BC823FBA-DAEC-464E-A6DB-1DF475E201C0}"/>
    <cellStyle name="Normal 5 3 3 6 2 4" xfId="20464" xr:uid="{20196C0A-FC8A-4CAC-810F-5FDB2ACC1892}"/>
    <cellStyle name="Normal 5 3 3 6 3" xfId="5639" xr:uid="{00000000-0005-0000-0000-0000091A0000}"/>
    <cellStyle name="Normal 5 3 3 6 3 2" xfId="14089" xr:uid="{02F168E1-0D42-4DDE-AB03-4D983B3684C3}"/>
    <cellStyle name="Normal 5 3 3 6 3 3" xfId="22536" xr:uid="{6E25F4A9-18AC-4FEF-A573-39767298656E}"/>
    <cellStyle name="Normal 5 3 3 6 4" xfId="9871" xr:uid="{BB0506B5-BE3B-4A30-92F0-04B0C861674A}"/>
    <cellStyle name="Normal 5 3 3 6 5" xfId="18319" xr:uid="{6A800BF8-60FD-4CB8-9F14-D5FE455CFDEA}"/>
    <cellStyle name="Normal 5 3 3 7" xfId="1745" xr:uid="{00000000-0005-0000-0000-00000A1A0000}"/>
    <cellStyle name="Normal 5 3 3 7 2" xfId="3975" xr:uid="{00000000-0005-0000-0000-00000B1A0000}"/>
    <cellStyle name="Normal 5 3 3 7 2 2" xfId="8197" xr:uid="{00000000-0005-0000-0000-00000C1A0000}"/>
    <cellStyle name="Normal 5 3 3 7 2 2 2" xfId="16647" xr:uid="{A2FA6960-7A01-4154-9E3E-21EE4D52F2FC}"/>
    <cellStyle name="Normal 5 3 3 7 2 2 3" xfId="25094" xr:uid="{3CB3C1E8-3E75-48F5-B579-312D91DFB298}"/>
    <cellStyle name="Normal 5 3 3 7 2 3" xfId="12429" xr:uid="{C830C2D1-894D-4AC1-B7CC-8896F8D02156}"/>
    <cellStyle name="Normal 5 3 3 7 2 4" xfId="20877" xr:uid="{CFEDFC45-AED8-4310-8313-0EBAA415049C}"/>
    <cellStyle name="Normal 5 3 3 7 3" xfId="6052" xr:uid="{00000000-0005-0000-0000-00000D1A0000}"/>
    <cellStyle name="Normal 5 3 3 7 3 2" xfId="14502" xr:uid="{AFA4518C-D000-4801-9945-270C87CA7329}"/>
    <cellStyle name="Normal 5 3 3 7 3 3" xfId="22949" xr:uid="{E5AA707B-CCF3-4C87-B793-06436B46B9EC}"/>
    <cellStyle name="Normal 5 3 3 7 4" xfId="10284" xr:uid="{B392B4DE-0A64-4D50-A6AC-0043E07ABBC4}"/>
    <cellStyle name="Normal 5 3 3 7 5" xfId="18732" xr:uid="{280D782B-20C6-443B-B601-3ACD76A321C1}"/>
    <cellStyle name="Normal 5 3 3 8" xfId="2159" xr:uid="{00000000-0005-0000-0000-00000E1A0000}"/>
    <cellStyle name="Normal 5 3 3 8 2" xfId="4388" xr:uid="{00000000-0005-0000-0000-00000F1A0000}"/>
    <cellStyle name="Normal 5 3 3 8 2 2" xfId="8610" xr:uid="{00000000-0005-0000-0000-0000101A0000}"/>
    <cellStyle name="Normal 5 3 3 8 2 2 2" xfId="17060" xr:uid="{F8C00594-F8DD-4AF0-8977-E96143790C62}"/>
    <cellStyle name="Normal 5 3 3 8 2 2 3" xfId="25507" xr:uid="{F92857A7-C7D1-478F-9B68-D735AD17BB75}"/>
    <cellStyle name="Normal 5 3 3 8 2 3" xfId="12842" xr:uid="{CE473A19-284F-4175-BA86-011213436FBA}"/>
    <cellStyle name="Normal 5 3 3 8 2 4" xfId="21290" xr:uid="{0C48688B-9BF8-413F-A473-AFA451265E36}"/>
    <cellStyle name="Normal 5 3 3 8 3" xfId="6465" xr:uid="{00000000-0005-0000-0000-0000111A0000}"/>
    <cellStyle name="Normal 5 3 3 8 3 2" xfId="14915" xr:uid="{E6151101-44F1-4048-9B66-D499A34E2CAB}"/>
    <cellStyle name="Normal 5 3 3 8 3 3" xfId="23362" xr:uid="{F02331E0-4AAC-432D-9312-6436E3F0F6BF}"/>
    <cellStyle name="Normal 5 3 3 8 4" xfId="10697" xr:uid="{69C28E75-4FA4-45B5-82B8-11C3D8B6AFE5}"/>
    <cellStyle name="Normal 5 3 3 8 5" xfId="19145" xr:uid="{2529A45B-87C8-43F7-83BC-E4BBEEF8E633}"/>
    <cellStyle name="Normal 5 3 3 9" xfId="2595" xr:uid="{00000000-0005-0000-0000-0000121A0000}"/>
    <cellStyle name="Normal 5 3 3 9 2" xfId="6878" xr:uid="{00000000-0005-0000-0000-0000131A0000}"/>
    <cellStyle name="Normal 5 3 3 9 2 2" xfId="15328" xr:uid="{D1394230-67F0-4ECE-9D41-8AC995CAC258}"/>
    <cellStyle name="Normal 5 3 3 9 2 3" xfId="23775" xr:uid="{2ADBD381-82D7-4BE7-9035-EC4334695303}"/>
    <cellStyle name="Normal 5 3 3 9 3" xfId="11110" xr:uid="{D452D9C7-A1D0-45F0-B772-0A56B3BEA4F3}"/>
    <cellStyle name="Normal 5 3 3 9 4" xfId="19558" xr:uid="{4C3C9CCA-AAE4-4E5C-BA93-52F3B2EEAE43}"/>
    <cellStyle name="Normal 5 3 4" xfId="449" xr:uid="{00000000-0005-0000-0000-0000141A0000}"/>
    <cellStyle name="Normal 5 3 4 10" xfId="9053" xr:uid="{751B38AF-FCE4-4366-B8B8-3B04458E77E6}"/>
    <cellStyle name="Normal 5 3 4 11" xfId="17501" xr:uid="{2A34E397-9173-419D-8CFF-519B2C702FC5}"/>
    <cellStyle name="Normal 5 3 4 2" xfId="450" xr:uid="{00000000-0005-0000-0000-0000151A0000}"/>
    <cellStyle name="Normal 5 3 4 2 10" xfId="17502" xr:uid="{5E36033C-0567-41B2-80AB-1C60A0D11215}"/>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2 2 2" xfId="15831" xr:uid="{1D50C92C-04CF-4D9B-AB05-8B6618196991}"/>
    <cellStyle name="Normal 5 3 4 2 2 2 2 2 3" xfId="24278" xr:uid="{C3CD2C4F-6FCA-4FBB-9223-66DF9D1F5EE4}"/>
    <cellStyle name="Normal 5 3 4 2 2 2 2 3" xfId="11613" xr:uid="{FE2C77B2-6C0F-4F9C-A7D4-6B3883DB8ECF}"/>
    <cellStyle name="Normal 5 3 4 2 2 2 2 4" xfId="20061" xr:uid="{7E640830-0746-47AD-BB7F-C1EAFD1EE1E2}"/>
    <cellStyle name="Normal 5 3 4 2 2 2 3" xfId="5236" xr:uid="{00000000-0005-0000-0000-00001A1A0000}"/>
    <cellStyle name="Normal 5 3 4 2 2 2 3 2" xfId="13686" xr:uid="{AFD034ED-8043-44D8-892A-10BA6A933C45}"/>
    <cellStyle name="Normal 5 3 4 2 2 2 3 3" xfId="22133" xr:uid="{B4F90B7A-A166-49A6-BA22-9B2380831588}"/>
    <cellStyle name="Normal 5 3 4 2 2 2 4" xfId="9468" xr:uid="{C6B0A9D5-21E9-43A9-AD62-98E454D0BE0D}"/>
    <cellStyle name="Normal 5 3 4 2 2 2 5" xfId="17916" xr:uid="{A4136ED0-691D-48CB-BE6E-8C5587A01814}"/>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2 2 2" xfId="16244" xr:uid="{B8E45D1C-EDA8-4096-AE2F-3C401CF31928}"/>
    <cellStyle name="Normal 5 3 4 2 2 3 2 2 3" xfId="24691" xr:uid="{DBD97D1B-D6B2-427E-ACAF-153062AA6009}"/>
    <cellStyle name="Normal 5 3 4 2 2 3 2 3" xfId="12026" xr:uid="{9FD7FD3C-CDD2-4AE0-8250-CD8D1678A435}"/>
    <cellStyle name="Normal 5 3 4 2 2 3 2 4" xfId="20474" xr:uid="{B0DACE41-78B9-4086-9EC6-8C195C851B13}"/>
    <cellStyle name="Normal 5 3 4 2 2 3 3" xfId="5649" xr:uid="{00000000-0005-0000-0000-00001E1A0000}"/>
    <cellStyle name="Normal 5 3 4 2 2 3 3 2" xfId="14099" xr:uid="{C0630F9B-5452-4FF3-9362-C03DA55B0DA1}"/>
    <cellStyle name="Normal 5 3 4 2 2 3 3 3" xfId="22546" xr:uid="{FF905F12-5863-457A-8EBE-6A5F9A95CC49}"/>
    <cellStyle name="Normal 5 3 4 2 2 3 4" xfId="9881" xr:uid="{FFF647DD-27B0-402C-BE50-83E8CDCCD4A5}"/>
    <cellStyle name="Normal 5 3 4 2 2 3 5" xfId="18329" xr:uid="{D5560440-76E5-41C2-B6FF-901CF9A05A9E}"/>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2 2 2" xfId="16657" xr:uid="{2C8B7C7E-C7C9-4D08-B547-CA7D5F5F3A9B}"/>
    <cellStyle name="Normal 5 3 4 2 2 4 2 2 3" xfId="25104" xr:uid="{273255E9-918A-4699-A407-8D3272EC9450}"/>
    <cellStyle name="Normal 5 3 4 2 2 4 2 3" xfId="12439" xr:uid="{FFE14658-D7EB-4C1D-B641-8795B70E667B}"/>
    <cellStyle name="Normal 5 3 4 2 2 4 2 4" xfId="20887" xr:uid="{DA7EF663-E713-4E1A-9D33-C4ADE2AD95BF}"/>
    <cellStyle name="Normal 5 3 4 2 2 4 3" xfId="6062" xr:uid="{00000000-0005-0000-0000-0000221A0000}"/>
    <cellStyle name="Normal 5 3 4 2 2 4 3 2" xfId="14512" xr:uid="{82A4A3FC-7391-4DAE-8AF5-737B972DF146}"/>
    <cellStyle name="Normal 5 3 4 2 2 4 3 3" xfId="22959" xr:uid="{F0F15814-E806-4505-95B8-DEEEA5580D96}"/>
    <cellStyle name="Normal 5 3 4 2 2 4 4" xfId="10294" xr:uid="{6B3DC613-69EE-4624-B29D-AF8C5AD80E04}"/>
    <cellStyle name="Normal 5 3 4 2 2 4 5" xfId="18742" xr:uid="{4FB62C03-E81C-45A2-96CF-20BA89BAEEFB}"/>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2 2 2" xfId="17070" xr:uid="{1F69D0F8-FBCA-4F36-8DD5-54B2DA519D92}"/>
    <cellStyle name="Normal 5 3 4 2 2 5 2 2 3" xfId="25517" xr:uid="{19EF2FDF-D204-4173-A435-5EFA72F76840}"/>
    <cellStyle name="Normal 5 3 4 2 2 5 2 3" xfId="12852" xr:uid="{BD3829DA-38CD-4445-A12E-6B4375CA27A8}"/>
    <cellStyle name="Normal 5 3 4 2 2 5 2 4" xfId="21300" xr:uid="{F4989896-9031-4379-98FF-86BDB5A5E825}"/>
    <cellStyle name="Normal 5 3 4 2 2 5 3" xfId="6475" xr:uid="{00000000-0005-0000-0000-0000261A0000}"/>
    <cellStyle name="Normal 5 3 4 2 2 5 3 2" xfId="14925" xr:uid="{3D8BFCB0-3DA2-4711-B5E0-A67705BE2096}"/>
    <cellStyle name="Normal 5 3 4 2 2 5 3 3" xfId="23372" xr:uid="{C7334A21-861F-4274-A04D-CA986443D698}"/>
    <cellStyle name="Normal 5 3 4 2 2 5 4" xfId="10707" xr:uid="{94C1B871-03C3-4A35-B66C-9A0B19696307}"/>
    <cellStyle name="Normal 5 3 4 2 2 5 5" xfId="19155" xr:uid="{D6950B76-58BB-44A2-90FE-DEE1D1661218}"/>
    <cellStyle name="Normal 5 3 4 2 2 6" xfId="2605" xr:uid="{00000000-0005-0000-0000-0000271A0000}"/>
    <cellStyle name="Normal 5 3 4 2 2 6 2" xfId="6888" xr:uid="{00000000-0005-0000-0000-0000281A0000}"/>
    <cellStyle name="Normal 5 3 4 2 2 6 2 2" xfId="15338" xr:uid="{DA1C2C2F-261E-4F03-8216-28950F62E95A}"/>
    <cellStyle name="Normal 5 3 4 2 2 6 2 3" xfId="23785" xr:uid="{08B83B6B-3CA9-4D28-9A4D-67717F94CCCB}"/>
    <cellStyle name="Normal 5 3 4 2 2 6 3" xfId="11120" xr:uid="{35D022D8-7292-4ABF-A771-B97137A56785}"/>
    <cellStyle name="Normal 5 3 4 2 2 6 4" xfId="19568" xr:uid="{BD4E832F-EA52-4990-83FA-29B97E2B457E}"/>
    <cellStyle name="Normal 5 3 4 2 2 7" xfId="4823" xr:uid="{00000000-0005-0000-0000-0000291A0000}"/>
    <cellStyle name="Normal 5 3 4 2 2 7 2" xfId="13273" xr:uid="{F09DC949-FFFA-432A-BB67-A49264DECB98}"/>
    <cellStyle name="Normal 5 3 4 2 2 7 3" xfId="21720" xr:uid="{4D58AB38-0C04-4DFA-99DA-056785C3DDBD}"/>
    <cellStyle name="Normal 5 3 4 2 2 8" xfId="9055" xr:uid="{973FC0C5-6453-4E82-A0CE-6F0E3785BDB9}"/>
    <cellStyle name="Normal 5 3 4 2 2 9" xfId="17503" xr:uid="{0185CFFA-ED8D-43B7-869E-471242B92751}"/>
    <cellStyle name="Normal 5 3 4 2 3" xfId="924" xr:uid="{00000000-0005-0000-0000-00002A1A0000}"/>
    <cellStyle name="Normal 5 3 4 2 3 2" xfId="3158" xr:uid="{00000000-0005-0000-0000-00002B1A0000}"/>
    <cellStyle name="Normal 5 3 4 2 3 2 2" xfId="7380" xr:uid="{00000000-0005-0000-0000-00002C1A0000}"/>
    <cellStyle name="Normal 5 3 4 2 3 2 2 2" xfId="15830" xr:uid="{49979A2C-3E37-4F30-87D0-4BBF6C474F38}"/>
    <cellStyle name="Normal 5 3 4 2 3 2 2 3" xfId="24277" xr:uid="{D77F8E4F-24FD-4619-BC03-F2FB1B9A561D}"/>
    <cellStyle name="Normal 5 3 4 2 3 2 3" xfId="11612" xr:uid="{9F8AA470-A54D-4B34-87C4-62D1A0E062B9}"/>
    <cellStyle name="Normal 5 3 4 2 3 2 4" xfId="20060" xr:uid="{D79B208A-EC4C-4395-9006-30FF219F9011}"/>
    <cellStyle name="Normal 5 3 4 2 3 3" xfId="5235" xr:uid="{00000000-0005-0000-0000-00002D1A0000}"/>
    <cellStyle name="Normal 5 3 4 2 3 3 2" xfId="13685" xr:uid="{5CA929D8-E774-4E1E-9317-F5475391E071}"/>
    <cellStyle name="Normal 5 3 4 2 3 3 3" xfId="22132" xr:uid="{E40EF883-4503-4E82-A1F1-C14A9617F2BA}"/>
    <cellStyle name="Normal 5 3 4 2 3 4" xfId="9467" xr:uid="{BBC4AFFE-5B92-498F-8D4E-FDA8E443FC75}"/>
    <cellStyle name="Normal 5 3 4 2 3 5" xfId="17915" xr:uid="{921BCE58-3236-4806-B97B-A9D097A585D0}"/>
    <cellStyle name="Normal 5 3 4 2 4" xfId="1341" xr:uid="{00000000-0005-0000-0000-00002E1A0000}"/>
    <cellStyle name="Normal 5 3 4 2 4 2" xfId="3571" xr:uid="{00000000-0005-0000-0000-00002F1A0000}"/>
    <cellStyle name="Normal 5 3 4 2 4 2 2" xfId="7793" xr:uid="{00000000-0005-0000-0000-0000301A0000}"/>
    <cellStyle name="Normal 5 3 4 2 4 2 2 2" xfId="16243" xr:uid="{BB3E4E5A-486B-4519-AAF2-ED45D4752E8A}"/>
    <cellStyle name="Normal 5 3 4 2 4 2 2 3" xfId="24690" xr:uid="{73C62305-7F89-4BD3-89F0-F0DC2FE4E537}"/>
    <cellStyle name="Normal 5 3 4 2 4 2 3" xfId="12025" xr:uid="{2C315D33-103D-4C8E-8015-EC443F92D51A}"/>
    <cellStyle name="Normal 5 3 4 2 4 2 4" xfId="20473" xr:uid="{8BAC9C98-8BB4-4700-AA38-12A0C64152D3}"/>
    <cellStyle name="Normal 5 3 4 2 4 3" xfId="5648" xr:uid="{00000000-0005-0000-0000-0000311A0000}"/>
    <cellStyle name="Normal 5 3 4 2 4 3 2" xfId="14098" xr:uid="{26FE6B12-E541-4674-A6F4-7FE618457E45}"/>
    <cellStyle name="Normal 5 3 4 2 4 3 3" xfId="22545" xr:uid="{59CE6B7C-E77F-4EA6-9681-37FD6E21A464}"/>
    <cellStyle name="Normal 5 3 4 2 4 4" xfId="9880" xr:uid="{A2D91DD5-C60A-446C-A5A9-A63F0B17DBAB}"/>
    <cellStyle name="Normal 5 3 4 2 4 5" xfId="18328" xr:uid="{22EE212A-E8C3-40EC-8E7C-158CBA78FA55}"/>
    <cellStyle name="Normal 5 3 4 2 5" xfId="1754" xr:uid="{00000000-0005-0000-0000-0000321A0000}"/>
    <cellStyle name="Normal 5 3 4 2 5 2" xfId="3984" xr:uid="{00000000-0005-0000-0000-0000331A0000}"/>
    <cellStyle name="Normal 5 3 4 2 5 2 2" xfId="8206" xr:uid="{00000000-0005-0000-0000-0000341A0000}"/>
    <cellStyle name="Normal 5 3 4 2 5 2 2 2" xfId="16656" xr:uid="{8FD74B27-70FF-4C83-A8D1-BCFA33839978}"/>
    <cellStyle name="Normal 5 3 4 2 5 2 2 3" xfId="25103" xr:uid="{65DCE33B-018C-4A72-AC81-87C4A1BB4FD7}"/>
    <cellStyle name="Normal 5 3 4 2 5 2 3" xfId="12438" xr:uid="{56E5D4C5-5070-4D8F-BCD9-87D1B6FF65F4}"/>
    <cellStyle name="Normal 5 3 4 2 5 2 4" xfId="20886" xr:uid="{11E8BD98-8DBA-4AB1-B939-70C7B9159FF7}"/>
    <cellStyle name="Normal 5 3 4 2 5 3" xfId="6061" xr:uid="{00000000-0005-0000-0000-0000351A0000}"/>
    <cellStyle name="Normal 5 3 4 2 5 3 2" xfId="14511" xr:uid="{BBABA144-066C-4373-AB08-091A3399DB3F}"/>
    <cellStyle name="Normal 5 3 4 2 5 3 3" xfId="22958" xr:uid="{BC9195B8-E715-4BC6-AA72-DAE535C95248}"/>
    <cellStyle name="Normal 5 3 4 2 5 4" xfId="10293" xr:uid="{DA8C47FD-D78A-44FE-A350-ACAD31549BC7}"/>
    <cellStyle name="Normal 5 3 4 2 5 5" xfId="18741" xr:uid="{FD4DFB01-E6F4-4C87-8FB7-9F9BC3C8ACD5}"/>
    <cellStyle name="Normal 5 3 4 2 6" xfId="2168" xr:uid="{00000000-0005-0000-0000-0000361A0000}"/>
    <cellStyle name="Normal 5 3 4 2 6 2" xfId="4397" xr:uid="{00000000-0005-0000-0000-0000371A0000}"/>
    <cellStyle name="Normal 5 3 4 2 6 2 2" xfId="8619" xr:uid="{00000000-0005-0000-0000-0000381A0000}"/>
    <cellStyle name="Normal 5 3 4 2 6 2 2 2" xfId="17069" xr:uid="{64C3B91F-BBDB-4162-8AF4-84DDCE7CBA74}"/>
    <cellStyle name="Normal 5 3 4 2 6 2 2 3" xfId="25516" xr:uid="{F90B616E-92B8-4330-B204-17CE270EB0E7}"/>
    <cellStyle name="Normal 5 3 4 2 6 2 3" xfId="12851" xr:uid="{BA9328BE-20C2-428E-9DC5-8B887A91EF48}"/>
    <cellStyle name="Normal 5 3 4 2 6 2 4" xfId="21299" xr:uid="{ABDE8052-1EE4-4277-9B5D-CB58B7C6509B}"/>
    <cellStyle name="Normal 5 3 4 2 6 3" xfId="6474" xr:uid="{00000000-0005-0000-0000-0000391A0000}"/>
    <cellStyle name="Normal 5 3 4 2 6 3 2" xfId="14924" xr:uid="{48407DAB-CC14-45D2-8F43-4D7590F89561}"/>
    <cellStyle name="Normal 5 3 4 2 6 3 3" xfId="23371" xr:uid="{5608B807-15E9-4764-B60C-5F0E103BA304}"/>
    <cellStyle name="Normal 5 3 4 2 6 4" xfId="10706" xr:uid="{D318509C-1B3F-487A-9E14-458CEB9830FF}"/>
    <cellStyle name="Normal 5 3 4 2 6 5" xfId="19154" xr:uid="{3FB73388-3C9F-4440-B78D-A6D1E17AE9B5}"/>
    <cellStyle name="Normal 5 3 4 2 7" xfId="2604" xr:uid="{00000000-0005-0000-0000-00003A1A0000}"/>
    <cellStyle name="Normal 5 3 4 2 7 2" xfId="6887" xr:uid="{00000000-0005-0000-0000-00003B1A0000}"/>
    <cellStyle name="Normal 5 3 4 2 7 2 2" xfId="15337" xr:uid="{B69FD72A-EAAF-48E8-AD8D-654205BFC40B}"/>
    <cellStyle name="Normal 5 3 4 2 7 2 3" xfId="23784" xr:uid="{B6A5B865-BE1F-4723-B762-CD2B87CC089F}"/>
    <cellStyle name="Normal 5 3 4 2 7 3" xfId="11119" xr:uid="{364B833E-4A3E-47A6-BFF2-A3CCF961FCE3}"/>
    <cellStyle name="Normal 5 3 4 2 7 4" xfId="19567" xr:uid="{FA3D1320-C059-4558-AA09-F22126DCEC77}"/>
    <cellStyle name="Normal 5 3 4 2 8" xfId="4822" xr:uid="{00000000-0005-0000-0000-00003C1A0000}"/>
    <cellStyle name="Normal 5 3 4 2 8 2" xfId="13272" xr:uid="{7FD6CD40-45CD-49B4-920B-C29353B7D267}"/>
    <cellStyle name="Normal 5 3 4 2 8 3" xfId="21719" xr:uid="{D05BBEB4-B368-4FE1-A142-E4FA1BB5400A}"/>
    <cellStyle name="Normal 5 3 4 2 9" xfId="9054" xr:uid="{234582F6-9EB8-4E90-8A23-66D565CE6D87}"/>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2 2 2" xfId="15832" xr:uid="{B72BCA15-0DF2-439E-AFA9-003B75FACF8A}"/>
    <cellStyle name="Normal 5 3 4 3 2 2 2 3" xfId="24279" xr:uid="{796FB19F-E2E4-4D54-9109-3AD9D263E0DB}"/>
    <cellStyle name="Normal 5 3 4 3 2 2 3" xfId="11614" xr:uid="{F4D1F600-FF5E-4A04-935C-82C68FA7ED53}"/>
    <cellStyle name="Normal 5 3 4 3 2 2 4" xfId="20062" xr:uid="{073847CD-D3D3-429A-BE2A-4C9F8F50F081}"/>
    <cellStyle name="Normal 5 3 4 3 2 3" xfId="5237" xr:uid="{00000000-0005-0000-0000-0000411A0000}"/>
    <cellStyle name="Normal 5 3 4 3 2 3 2" xfId="13687" xr:uid="{300A6FE9-E485-4410-942E-735759BD6271}"/>
    <cellStyle name="Normal 5 3 4 3 2 3 3" xfId="22134" xr:uid="{753A7B78-579E-40EA-837F-9069A7919D24}"/>
    <cellStyle name="Normal 5 3 4 3 2 4" xfId="9469" xr:uid="{14F6C844-20CB-4207-AEE2-F0BEA8E4CBC5}"/>
    <cellStyle name="Normal 5 3 4 3 2 5" xfId="17917" xr:uid="{9DEB79F7-BF7C-4CD0-B23B-2EB0681E6474}"/>
    <cellStyle name="Normal 5 3 4 3 3" xfId="1343" xr:uid="{00000000-0005-0000-0000-0000421A0000}"/>
    <cellStyle name="Normal 5 3 4 3 3 2" xfId="3573" xr:uid="{00000000-0005-0000-0000-0000431A0000}"/>
    <cellStyle name="Normal 5 3 4 3 3 2 2" xfId="7795" xr:uid="{00000000-0005-0000-0000-0000441A0000}"/>
    <cellStyle name="Normal 5 3 4 3 3 2 2 2" xfId="16245" xr:uid="{CB961F41-1759-41D3-A922-EB122DB44834}"/>
    <cellStyle name="Normal 5 3 4 3 3 2 2 3" xfId="24692" xr:uid="{3304B7D0-F4F8-48BE-B49C-E01DE615365C}"/>
    <cellStyle name="Normal 5 3 4 3 3 2 3" xfId="12027" xr:uid="{D13ED156-6C73-4F91-B3A8-F5E2238A200D}"/>
    <cellStyle name="Normal 5 3 4 3 3 2 4" xfId="20475" xr:uid="{E39EF96A-ACDA-4216-A894-3B53AF9C59EC}"/>
    <cellStyle name="Normal 5 3 4 3 3 3" xfId="5650" xr:uid="{00000000-0005-0000-0000-0000451A0000}"/>
    <cellStyle name="Normal 5 3 4 3 3 3 2" xfId="14100" xr:uid="{2E0AFA1A-5E22-407F-814C-AEAA75F874EA}"/>
    <cellStyle name="Normal 5 3 4 3 3 3 3" xfId="22547" xr:uid="{10A5E338-2CCF-4F94-A022-1064FEA3ADBA}"/>
    <cellStyle name="Normal 5 3 4 3 3 4" xfId="9882" xr:uid="{48BC9A04-EE8C-4C5F-BC37-12AC8B1E9633}"/>
    <cellStyle name="Normal 5 3 4 3 3 5" xfId="18330" xr:uid="{E87D4D1D-75AE-4C85-B18A-600589C96601}"/>
    <cellStyle name="Normal 5 3 4 3 4" xfId="1756" xr:uid="{00000000-0005-0000-0000-0000461A0000}"/>
    <cellStyle name="Normal 5 3 4 3 4 2" xfId="3986" xr:uid="{00000000-0005-0000-0000-0000471A0000}"/>
    <cellStyle name="Normal 5 3 4 3 4 2 2" xfId="8208" xr:uid="{00000000-0005-0000-0000-0000481A0000}"/>
    <cellStyle name="Normal 5 3 4 3 4 2 2 2" xfId="16658" xr:uid="{41FB7217-E33F-412D-AB88-9A4F1926458E}"/>
    <cellStyle name="Normal 5 3 4 3 4 2 2 3" xfId="25105" xr:uid="{7E8249B8-7704-4630-8944-F0720A8D1D37}"/>
    <cellStyle name="Normal 5 3 4 3 4 2 3" xfId="12440" xr:uid="{0ADECE4F-6DD8-45A7-B760-0FF53FDA0542}"/>
    <cellStyle name="Normal 5 3 4 3 4 2 4" xfId="20888" xr:uid="{F035F1DE-4ED7-4822-BFFF-5B59787322C3}"/>
    <cellStyle name="Normal 5 3 4 3 4 3" xfId="6063" xr:uid="{00000000-0005-0000-0000-0000491A0000}"/>
    <cellStyle name="Normal 5 3 4 3 4 3 2" xfId="14513" xr:uid="{4C3AA0E1-D0CF-44B1-854B-75BCD232B979}"/>
    <cellStyle name="Normal 5 3 4 3 4 3 3" xfId="22960" xr:uid="{C530FE69-2D54-441F-AD1A-4B795E21AD72}"/>
    <cellStyle name="Normal 5 3 4 3 4 4" xfId="10295" xr:uid="{A98FFE5A-8D30-4999-81E5-E6C9E442248D}"/>
    <cellStyle name="Normal 5 3 4 3 4 5" xfId="18743" xr:uid="{4FE62740-735D-40B1-80AE-55C80D46D791}"/>
    <cellStyle name="Normal 5 3 4 3 5" xfId="2170" xr:uid="{00000000-0005-0000-0000-00004A1A0000}"/>
    <cellStyle name="Normal 5 3 4 3 5 2" xfId="4399" xr:uid="{00000000-0005-0000-0000-00004B1A0000}"/>
    <cellStyle name="Normal 5 3 4 3 5 2 2" xfId="8621" xr:uid="{00000000-0005-0000-0000-00004C1A0000}"/>
    <cellStyle name="Normal 5 3 4 3 5 2 2 2" xfId="17071" xr:uid="{7CC53A91-8B38-4E6B-B7B4-DB72D5933894}"/>
    <cellStyle name="Normal 5 3 4 3 5 2 2 3" xfId="25518" xr:uid="{851F7063-678B-4AD7-B316-1C54C3DEC48C}"/>
    <cellStyle name="Normal 5 3 4 3 5 2 3" xfId="12853" xr:uid="{75B1117E-405D-44F6-9FE1-E97FBF5C0BF1}"/>
    <cellStyle name="Normal 5 3 4 3 5 2 4" xfId="21301" xr:uid="{830B3D35-3541-45E0-A4A3-061B867D132B}"/>
    <cellStyle name="Normal 5 3 4 3 5 3" xfId="6476" xr:uid="{00000000-0005-0000-0000-00004D1A0000}"/>
    <cellStyle name="Normal 5 3 4 3 5 3 2" xfId="14926" xr:uid="{C864455E-5151-4594-A2CD-68D8ABB216BE}"/>
    <cellStyle name="Normal 5 3 4 3 5 3 3" xfId="23373" xr:uid="{2797D98F-A831-4450-962C-06CD5D86B297}"/>
    <cellStyle name="Normal 5 3 4 3 5 4" xfId="10708" xr:uid="{A5EF227B-0A10-4913-838F-47280F86A00A}"/>
    <cellStyle name="Normal 5 3 4 3 5 5" xfId="19156" xr:uid="{25A6C7B2-4C94-44BA-898D-4F9285674772}"/>
    <cellStyle name="Normal 5 3 4 3 6" xfId="2606" xr:uid="{00000000-0005-0000-0000-00004E1A0000}"/>
    <cellStyle name="Normal 5 3 4 3 6 2" xfId="6889" xr:uid="{00000000-0005-0000-0000-00004F1A0000}"/>
    <cellStyle name="Normal 5 3 4 3 6 2 2" xfId="15339" xr:uid="{533C0303-85A3-48D1-AFB3-D22DDFAA4123}"/>
    <cellStyle name="Normal 5 3 4 3 6 2 3" xfId="23786" xr:uid="{F74FC184-B1DE-4B38-99FF-71BE9D470CA7}"/>
    <cellStyle name="Normal 5 3 4 3 6 3" xfId="11121" xr:uid="{75B38320-968C-4275-A608-F864D45C9A83}"/>
    <cellStyle name="Normal 5 3 4 3 6 4" xfId="19569" xr:uid="{A1F19C40-C9F0-4E8F-89BF-0DC648EDD403}"/>
    <cellStyle name="Normal 5 3 4 3 7" xfId="4824" xr:uid="{00000000-0005-0000-0000-0000501A0000}"/>
    <cellStyle name="Normal 5 3 4 3 7 2" xfId="13274" xr:uid="{BE63357D-EE83-493C-B3E9-D6E95009A34A}"/>
    <cellStyle name="Normal 5 3 4 3 7 3" xfId="21721" xr:uid="{913A52A2-F892-4343-A261-A1D0F9831727}"/>
    <cellStyle name="Normal 5 3 4 3 8" xfId="9056" xr:uid="{D6680A7E-3472-4F86-8FE4-0F9F977A4C01}"/>
    <cellStyle name="Normal 5 3 4 3 9" xfId="17504" xr:uid="{34A825C5-C01A-4EBD-A982-B28088311EFD}"/>
    <cellStyle name="Normal 5 3 4 4" xfId="923" xr:uid="{00000000-0005-0000-0000-0000511A0000}"/>
    <cellStyle name="Normal 5 3 4 4 2" xfId="3157" xr:uid="{00000000-0005-0000-0000-0000521A0000}"/>
    <cellStyle name="Normal 5 3 4 4 2 2" xfId="7379" xr:uid="{00000000-0005-0000-0000-0000531A0000}"/>
    <cellStyle name="Normal 5 3 4 4 2 2 2" xfId="15829" xr:uid="{D88553CA-FC01-4BC0-A6C3-2358029BDCCE}"/>
    <cellStyle name="Normal 5 3 4 4 2 2 3" xfId="24276" xr:uid="{E90A9A2D-91DE-4F3E-AA6F-64D5BF5E23AF}"/>
    <cellStyle name="Normal 5 3 4 4 2 3" xfId="11611" xr:uid="{201A92AE-D0AE-4A1C-872C-A1A6640BBC87}"/>
    <cellStyle name="Normal 5 3 4 4 2 4" xfId="20059" xr:uid="{91E34D93-8F1C-402D-A518-3881217FE1B0}"/>
    <cellStyle name="Normal 5 3 4 4 3" xfId="5234" xr:uid="{00000000-0005-0000-0000-0000541A0000}"/>
    <cellStyle name="Normal 5 3 4 4 3 2" xfId="13684" xr:uid="{C6303CF8-026C-434D-9436-D9483C386E33}"/>
    <cellStyle name="Normal 5 3 4 4 3 3" xfId="22131" xr:uid="{E6885F5B-EC22-40A5-83B2-BAC2451709E7}"/>
    <cellStyle name="Normal 5 3 4 4 4" xfId="9466" xr:uid="{9A109D57-B574-4655-A4EB-609B23981B10}"/>
    <cellStyle name="Normal 5 3 4 4 5" xfId="17914" xr:uid="{07EEB10A-7ADA-47D6-BAF0-F7F134AEBFB9}"/>
    <cellStyle name="Normal 5 3 4 5" xfId="1340" xr:uid="{00000000-0005-0000-0000-0000551A0000}"/>
    <cellStyle name="Normal 5 3 4 5 2" xfId="3570" xr:uid="{00000000-0005-0000-0000-0000561A0000}"/>
    <cellStyle name="Normal 5 3 4 5 2 2" xfId="7792" xr:uid="{00000000-0005-0000-0000-0000571A0000}"/>
    <cellStyle name="Normal 5 3 4 5 2 2 2" xfId="16242" xr:uid="{3F69498C-839A-41ED-B806-9F7D4ECFF228}"/>
    <cellStyle name="Normal 5 3 4 5 2 2 3" xfId="24689" xr:uid="{C1407BB4-F5F9-47C8-964A-335534A524CC}"/>
    <cellStyle name="Normal 5 3 4 5 2 3" xfId="12024" xr:uid="{EC35B4FB-7077-4B2C-BA06-D5612621AC81}"/>
    <cellStyle name="Normal 5 3 4 5 2 4" xfId="20472" xr:uid="{D47FA71C-99B8-4B04-8B57-DB8C3D259B6A}"/>
    <cellStyle name="Normal 5 3 4 5 3" xfId="5647" xr:uid="{00000000-0005-0000-0000-0000581A0000}"/>
    <cellStyle name="Normal 5 3 4 5 3 2" xfId="14097" xr:uid="{621DB52C-08BD-436F-BAE0-787E36D66F82}"/>
    <cellStyle name="Normal 5 3 4 5 3 3" xfId="22544" xr:uid="{36F8FE8C-E799-4436-8E4F-502C062048D4}"/>
    <cellStyle name="Normal 5 3 4 5 4" xfId="9879" xr:uid="{C12E1814-FC0E-4696-8B64-155DDBD3B333}"/>
    <cellStyle name="Normal 5 3 4 5 5" xfId="18327" xr:uid="{B21D1088-4885-4AD9-B89D-6B64B5D79598}"/>
    <cellStyle name="Normal 5 3 4 6" xfId="1753" xr:uid="{00000000-0005-0000-0000-0000591A0000}"/>
    <cellStyle name="Normal 5 3 4 6 2" xfId="3983" xr:uid="{00000000-0005-0000-0000-00005A1A0000}"/>
    <cellStyle name="Normal 5 3 4 6 2 2" xfId="8205" xr:uid="{00000000-0005-0000-0000-00005B1A0000}"/>
    <cellStyle name="Normal 5 3 4 6 2 2 2" xfId="16655" xr:uid="{481F9061-44CF-450C-94CA-612F01F3F627}"/>
    <cellStyle name="Normal 5 3 4 6 2 2 3" xfId="25102" xr:uid="{DD12B202-A4FB-4081-8B82-C37B2D798B12}"/>
    <cellStyle name="Normal 5 3 4 6 2 3" xfId="12437" xr:uid="{F199E2D3-8099-4A2A-AA1B-65BF89B395B0}"/>
    <cellStyle name="Normal 5 3 4 6 2 4" xfId="20885" xr:uid="{1B9E4F6A-A23A-4DBD-9A9F-B6A9FF91B05F}"/>
    <cellStyle name="Normal 5 3 4 6 3" xfId="6060" xr:uid="{00000000-0005-0000-0000-00005C1A0000}"/>
    <cellStyle name="Normal 5 3 4 6 3 2" xfId="14510" xr:uid="{49D5F36F-B186-4B96-B4B5-81B83CB68751}"/>
    <cellStyle name="Normal 5 3 4 6 3 3" xfId="22957" xr:uid="{BADB843C-3401-41CD-BC50-BAE5A277FE3F}"/>
    <cellStyle name="Normal 5 3 4 6 4" xfId="10292" xr:uid="{D9E7DA79-7AD5-4534-AA45-54634C776389}"/>
    <cellStyle name="Normal 5 3 4 6 5" xfId="18740" xr:uid="{544E38BA-5899-4279-9667-5840410956CD}"/>
    <cellStyle name="Normal 5 3 4 7" xfId="2167" xr:uid="{00000000-0005-0000-0000-00005D1A0000}"/>
    <cellStyle name="Normal 5 3 4 7 2" xfId="4396" xr:uid="{00000000-0005-0000-0000-00005E1A0000}"/>
    <cellStyle name="Normal 5 3 4 7 2 2" xfId="8618" xr:uid="{00000000-0005-0000-0000-00005F1A0000}"/>
    <cellStyle name="Normal 5 3 4 7 2 2 2" xfId="17068" xr:uid="{C49E8D0C-CE27-4758-9A83-85C323D92F14}"/>
    <cellStyle name="Normal 5 3 4 7 2 2 3" xfId="25515" xr:uid="{80A0FE2A-4F71-4322-B4EF-67DA74DCDDAD}"/>
    <cellStyle name="Normal 5 3 4 7 2 3" xfId="12850" xr:uid="{69CD505A-10EB-4809-B79A-A8653B164FDF}"/>
    <cellStyle name="Normal 5 3 4 7 2 4" xfId="21298" xr:uid="{EF05F648-48A3-4C25-9FE2-94E4ECB8367A}"/>
    <cellStyle name="Normal 5 3 4 7 3" xfId="6473" xr:uid="{00000000-0005-0000-0000-0000601A0000}"/>
    <cellStyle name="Normal 5 3 4 7 3 2" xfId="14923" xr:uid="{4F84A178-898F-4BA6-BFF6-B9524A67B691}"/>
    <cellStyle name="Normal 5 3 4 7 3 3" xfId="23370" xr:uid="{FA6092EB-23CA-40AF-A9AD-05CB397ECC5B}"/>
    <cellStyle name="Normal 5 3 4 7 4" xfId="10705" xr:uid="{2981FCB2-5AA4-4ACC-A58A-047B0EB4DD29}"/>
    <cellStyle name="Normal 5 3 4 7 5" xfId="19153" xr:uid="{F3C45A94-7802-438A-8C0F-A2CC37876D53}"/>
    <cellStyle name="Normal 5 3 4 8" xfId="2603" xr:uid="{00000000-0005-0000-0000-0000611A0000}"/>
    <cellStyle name="Normal 5 3 4 8 2" xfId="6886" xr:uid="{00000000-0005-0000-0000-0000621A0000}"/>
    <cellStyle name="Normal 5 3 4 8 2 2" xfId="15336" xr:uid="{B1798371-0DF0-49DA-B89A-F00156543AB7}"/>
    <cellStyle name="Normal 5 3 4 8 2 3" xfId="23783" xr:uid="{3C04D534-A812-4589-92EC-C4BB2E376163}"/>
    <cellStyle name="Normal 5 3 4 8 3" xfId="11118" xr:uid="{42CA82D8-A506-46FC-AE8F-2DA1BA51BAE5}"/>
    <cellStyle name="Normal 5 3 4 8 4" xfId="19566" xr:uid="{3CEFABDA-B0EA-4932-9B2D-91A46F843AEB}"/>
    <cellStyle name="Normal 5 3 4 9" xfId="4821" xr:uid="{00000000-0005-0000-0000-0000631A0000}"/>
    <cellStyle name="Normal 5 3 4 9 2" xfId="13271" xr:uid="{5520D39B-A4E8-4AEC-B959-EAA4DEFECE35}"/>
    <cellStyle name="Normal 5 3 4 9 3" xfId="21718" xr:uid="{F09168EA-1D40-4EB6-9635-CDC88F3491DA}"/>
    <cellStyle name="Normal 5 3 5" xfId="453" xr:uid="{00000000-0005-0000-0000-0000641A0000}"/>
    <cellStyle name="Normal 5 3 5 10" xfId="17505" xr:uid="{CAC7FAE9-E1C8-4AB4-9739-90C9E8295817}"/>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2 2 2" xfId="15834" xr:uid="{A4EAA2B6-45EC-4FCB-91B3-D5FAE9D5D3A7}"/>
    <cellStyle name="Normal 5 3 5 2 2 2 2 3" xfId="24281" xr:uid="{F7D4CD94-EE4C-4180-8BDE-3B264FFD31A3}"/>
    <cellStyle name="Normal 5 3 5 2 2 2 3" xfId="11616" xr:uid="{4EDE7B38-7179-4F19-876D-F22A28E06F84}"/>
    <cellStyle name="Normal 5 3 5 2 2 2 4" xfId="20064" xr:uid="{C0807775-A4F8-4473-89E3-7066317F40FC}"/>
    <cellStyle name="Normal 5 3 5 2 2 3" xfId="5239" xr:uid="{00000000-0005-0000-0000-0000691A0000}"/>
    <cellStyle name="Normal 5 3 5 2 2 3 2" xfId="13689" xr:uid="{29B45778-EB3D-46B2-A0BD-C4862878A9FD}"/>
    <cellStyle name="Normal 5 3 5 2 2 3 3" xfId="22136" xr:uid="{8DBEDEF5-2C20-4FA0-9338-02CC5F7E463A}"/>
    <cellStyle name="Normal 5 3 5 2 2 4" xfId="9471" xr:uid="{8169AD2C-5513-4F49-A3C6-8DD371B9C4A0}"/>
    <cellStyle name="Normal 5 3 5 2 2 5" xfId="17919" xr:uid="{4B559DF6-2E1B-4989-BF14-B67A75A85FAC}"/>
    <cellStyle name="Normal 5 3 5 2 3" xfId="1345" xr:uid="{00000000-0005-0000-0000-00006A1A0000}"/>
    <cellStyle name="Normal 5 3 5 2 3 2" xfId="3575" xr:uid="{00000000-0005-0000-0000-00006B1A0000}"/>
    <cellStyle name="Normal 5 3 5 2 3 2 2" xfId="7797" xr:uid="{00000000-0005-0000-0000-00006C1A0000}"/>
    <cellStyle name="Normal 5 3 5 2 3 2 2 2" xfId="16247" xr:uid="{2296FF9B-0948-4468-9403-DD9657BBDD26}"/>
    <cellStyle name="Normal 5 3 5 2 3 2 2 3" xfId="24694" xr:uid="{6B8A2F0D-A3BF-46A4-81A1-1E8DCC2D7DD3}"/>
    <cellStyle name="Normal 5 3 5 2 3 2 3" xfId="12029" xr:uid="{0D86D60C-56E2-4A15-8A3B-FB17394D963C}"/>
    <cellStyle name="Normal 5 3 5 2 3 2 4" xfId="20477" xr:uid="{A574047A-F67D-4C23-AF5C-188D2861D462}"/>
    <cellStyle name="Normal 5 3 5 2 3 3" xfId="5652" xr:uid="{00000000-0005-0000-0000-00006D1A0000}"/>
    <cellStyle name="Normal 5 3 5 2 3 3 2" xfId="14102" xr:uid="{EC93C3A9-2482-46D9-858D-C5601C0AF05A}"/>
    <cellStyle name="Normal 5 3 5 2 3 3 3" xfId="22549" xr:uid="{7C81C635-3555-450B-B2BD-ED91C2186B31}"/>
    <cellStyle name="Normal 5 3 5 2 3 4" xfId="9884" xr:uid="{252AB41C-9466-450F-A1A1-E8DC7757AA6E}"/>
    <cellStyle name="Normal 5 3 5 2 3 5" xfId="18332" xr:uid="{6CEDB481-46C4-4AA3-B2F0-1E926B7C72A6}"/>
    <cellStyle name="Normal 5 3 5 2 4" xfId="1758" xr:uid="{00000000-0005-0000-0000-00006E1A0000}"/>
    <cellStyle name="Normal 5 3 5 2 4 2" xfId="3988" xr:uid="{00000000-0005-0000-0000-00006F1A0000}"/>
    <cellStyle name="Normal 5 3 5 2 4 2 2" xfId="8210" xr:uid="{00000000-0005-0000-0000-0000701A0000}"/>
    <cellStyle name="Normal 5 3 5 2 4 2 2 2" xfId="16660" xr:uid="{CE98EEBB-5277-4F22-BC88-7278DD851D76}"/>
    <cellStyle name="Normal 5 3 5 2 4 2 2 3" xfId="25107" xr:uid="{B2C931D7-D287-4B0F-A9E5-1C455B7DBC87}"/>
    <cellStyle name="Normal 5 3 5 2 4 2 3" xfId="12442" xr:uid="{B43F67A4-B626-44DA-8670-B683EC2D56A1}"/>
    <cellStyle name="Normal 5 3 5 2 4 2 4" xfId="20890" xr:uid="{F2DFFB4A-6292-4874-84AF-2002B5A15526}"/>
    <cellStyle name="Normal 5 3 5 2 4 3" xfId="6065" xr:uid="{00000000-0005-0000-0000-0000711A0000}"/>
    <cellStyle name="Normal 5 3 5 2 4 3 2" xfId="14515" xr:uid="{C1C94BCD-3F55-4786-90BF-18EDD9696E91}"/>
    <cellStyle name="Normal 5 3 5 2 4 3 3" xfId="22962" xr:uid="{D5C06DA1-60E0-4130-A7D6-05B6249E2AA1}"/>
    <cellStyle name="Normal 5 3 5 2 4 4" xfId="10297" xr:uid="{8770DDD8-E2CD-491B-BC8F-2067D4710079}"/>
    <cellStyle name="Normal 5 3 5 2 4 5" xfId="18745" xr:uid="{2444A681-1966-4321-85C3-A1004B2538A4}"/>
    <cellStyle name="Normal 5 3 5 2 5" xfId="2172" xr:uid="{00000000-0005-0000-0000-0000721A0000}"/>
    <cellStyle name="Normal 5 3 5 2 5 2" xfId="4401" xr:uid="{00000000-0005-0000-0000-0000731A0000}"/>
    <cellStyle name="Normal 5 3 5 2 5 2 2" xfId="8623" xr:uid="{00000000-0005-0000-0000-0000741A0000}"/>
    <cellStyle name="Normal 5 3 5 2 5 2 2 2" xfId="17073" xr:uid="{1BA6057A-5951-4901-82EB-81DFF9295368}"/>
    <cellStyle name="Normal 5 3 5 2 5 2 2 3" xfId="25520" xr:uid="{9AA7B287-2F77-4599-BA9D-77CCAA7B7607}"/>
    <cellStyle name="Normal 5 3 5 2 5 2 3" xfId="12855" xr:uid="{E3887D46-C444-423E-A837-E1E270594762}"/>
    <cellStyle name="Normal 5 3 5 2 5 2 4" xfId="21303" xr:uid="{C0019290-6990-46DA-B397-9CE9BB8D45DE}"/>
    <cellStyle name="Normal 5 3 5 2 5 3" xfId="6478" xr:uid="{00000000-0005-0000-0000-0000751A0000}"/>
    <cellStyle name="Normal 5 3 5 2 5 3 2" xfId="14928" xr:uid="{C64D39D7-04F2-4120-80F5-1541D2A91144}"/>
    <cellStyle name="Normal 5 3 5 2 5 3 3" xfId="23375" xr:uid="{670B0C73-913C-4DA0-9BF8-99A95FB32F77}"/>
    <cellStyle name="Normal 5 3 5 2 5 4" xfId="10710" xr:uid="{3970B7CD-FE6E-48CD-A187-E6B06D84728D}"/>
    <cellStyle name="Normal 5 3 5 2 5 5" xfId="19158" xr:uid="{0AA76F52-8C63-47D4-9517-D86EF006C04E}"/>
    <cellStyle name="Normal 5 3 5 2 6" xfId="2608" xr:uid="{00000000-0005-0000-0000-0000761A0000}"/>
    <cellStyle name="Normal 5 3 5 2 6 2" xfId="6891" xr:uid="{00000000-0005-0000-0000-0000771A0000}"/>
    <cellStyle name="Normal 5 3 5 2 6 2 2" xfId="15341" xr:uid="{9C839163-6BB0-4BB5-80D7-762395A0B372}"/>
    <cellStyle name="Normal 5 3 5 2 6 2 3" xfId="23788" xr:uid="{A1C14E03-00D2-4659-A815-2C4985A09798}"/>
    <cellStyle name="Normal 5 3 5 2 6 3" xfId="11123" xr:uid="{78F6ED29-E0B3-4D0A-B585-53ABF86D0F38}"/>
    <cellStyle name="Normal 5 3 5 2 6 4" xfId="19571" xr:uid="{8DBCF715-7203-46BE-A206-8527D4C498E6}"/>
    <cellStyle name="Normal 5 3 5 2 7" xfId="4826" xr:uid="{00000000-0005-0000-0000-0000781A0000}"/>
    <cellStyle name="Normal 5 3 5 2 7 2" xfId="13276" xr:uid="{D0873FE8-D7D1-4D98-A02B-68DDF64B7AB3}"/>
    <cellStyle name="Normal 5 3 5 2 7 3" xfId="21723" xr:uid="{80911F78-44F9-49E4-9504-2E26EAEEEA91}"/>
    <cellStyle name="Normal 5 3 5 2 8" xfId="9058" xr:uid="{9D63AEA5-ED5E-4D36-8A99-06F8991FDE78}"/>
    <cellStyle name="Normal 5 3 5 2 9" xfId="17506" xr:uid="{AFFEAFC6-F022-4EDF-AFF9-CEFF51DE5474}"/>
    <cellStyle name="Normal 5 3 5 3" xfId="927" xr:uid="{00000000-0005-0000-0000-0000791A0000}"/>
    <cellStyle name="Normal 5 3 5 3 2" xfId="3161" xr:uid="{00000000-0005-0000-0000-00007A1A0000}"/>
    <cellStyle name="Normal 5 3 5 3 2 2" xfId="7383" xr:uid="{00000000-0005-0000-0000-00007B1A0000}"/>
    <cellStyle name="Normal 5 3 5 3 2 2 2" xfId="15833" xr:uid="{DA377F7E-5E71-4643-95EE-6CE38CAED0D5}"/>
    <cellStyle name="Normal 5 3 5 3 2 2 3" xfId="24280" xr:uid="{01A42347-7E49-4EB2-B73D-A36CA472D291}"/>
    <cellStyle name="Normal 5 3 5 3 2 3" xfId="11615" xr:uid="{EDA2DF12-74AF-4404-86E8-CBFF8239A978}"/>
    <cellStyle name="Normal 5 3 5 3 2 4" xfId="20063" xr:uid="{9F6168B9-AD5A-461D-A1CB-B3BC08125FF5}"/>
    <cellStyle name="Normal 5 3 5 3 3" xfId="5238" xr:uid="{00000000-0005-0000-0000-00007C1A0000}"/>
    <cellStyle name="Normal 5 3 5 3 3 2" xfId="13688" xr:uid="{16CE20DF-D250-4C9D-8EE0-A7B4992AC499}"/>
    <cellStyle name="Normal 5 3 5 3 3 3" xfId="22135" xr:uid="{65DC55A0-8DB7-43EB-9EDD-413D1A283F2F}"/>
    <cellStyle name="Normal 5 3 5 3 4" xfId="9470" xr:uid="{FFC726A7-99C8-498A-B26B-FE990FF66C10}"/>
    <cellStyle name="Normal 5 3 5 3 5" xfId="17918" xr:uid="{36F19183-42AC-4ACB-9516-1307848324BD}"/>
    <cellStyle name="Normal 5 3 5 4" xfId="1344" xr:uid="{00000000-0005-0000-0000-00007D1A0000}"/>
    <cellStyle name="Normal 5 3 5 4 2" xfId="3574" xr:uid="{00000000-0005-0000-0000-00007E1A0000}"/>
    <cellStyle name="Normal 5 3 5 4 2 2" xfId="7796" xr:uid="{00000000-0005-0000-0000-00007F1A0000}"/>
    <cellStyle name="Normal 5 3 5 4 2 2 2" xfId="16246" xr:uid="{7F7E7D01-CE6E-4CE0-B657-1A6374AB9CCE}"/>
    <cellStyle name="Normal 5 3 5 4 2 2 3" xfId="24693" xr:uid="{0CFD4656-370F-48C3-B80D-270AB09FA672}"/>
    <cellStyle name="Normal 5 3 5 4 2 3" xfId="12028" xr:uid="{0D28E335-76C7-4650-967A-E433CB9DE0D4}"/>
    <cellStyle name="Normal 5 3 5 4 2 4" xfId="20476" xr:uid="{A11304DC-C944-42A3-BB4A-2E16635068D1}"/>
    <cellStyle name="Normal 5 3 5 4 3" xfId="5651" xr:uid="{00000000-0005-0000-0000-0000801A0000}"/>
    <cellStyle name="Normal 5 3 5 4 3 2" xfId="14101" xr:uid="{6BD200A2-FA59-457B-8C81-6DCA5133ACF9}"/>
    <cellStyle name="Normal 5 3 5 4 3 3" xfId="22548" xr:uid="{1518887B-23B3-423A-8635-8E3294E0EF76}"/>
    <cellStyle name="Normal 5 3 5 4 4" xfId="9883" xr:uid="{B90365B1-F433-4952-B67A-6FFA427F4168}"/>
    <cellStyle name="Normal 5 3 5 4 5" xfId="18331" xr:uid="{16289C5D-A794-4C4E-833A-2A7926D7BE45}"/>
    <cellStyle name="Normal 5 3 5 5" xfId="1757" xr:uid="{00000000-0005-0000-0000-0000811A0000}"/>
    <cellStyle name="Normal 5 3 5 5 2" xfId="3987" xr:uid="{00000000-0005-0000-0000-0000821A0000}"/>
    <cellStyle name="Normal 5 3 5 5 2 2" xfId="8209" xr:uid="{00000000-0005-0000-0000-0000831A0000}"/>
    <cellStyle name="Normal 5 3 5 5 2 2 2" xfId="16659" xr:uid="{E39F3404-81A7-4102-B116-AA2D57438001}"/>
    <cellStyle name="Normal 5 3 5 5 2 2 3" xfId="25106" xr:uid="{96D39F29-9546-4276-875C-DE03DC62D95E}"/>
    <cellStyle name="Normal 5 3 5 5 2 3" xfId="12441" xr:uid="{56DDB671-9CC5-469E-92A6-9E7BB7E75F69}"/>
    <cellStyle name="Normal 5 3 5 5 2 4" xfId="20889" xr:uid="{B8C71F11-2165-4073-B7F7-2071B7D1FD10}"/>
    <cellStyle name="Normal 5 3 5 5 3" xfId="6064" xr:uid="{00000000-0005-0000-0000-0000841A0000}"/>
    <cellStyle name="Normal 5 3 5 5 3 2" xfId="14514" xr:uid="{464522FF-F105-4CA3-8AC8-9BA9DC748490}"/>
    <cellStyle name="Normal 5 3 5 5 3 3" xfId="22961" xr:uid="{7C0413CB-BB6C-42E3-822A-2733EA8D43AE}"/>
    <cellStyle name="Normal 5 3 5 5 4" xfId="10296" xr:uid="{36AB46DC-E2EA-4EE2-BDAC-1394F5444B0A}"/>
    <cellStyle name="Normal 5 3 5 5 5" xfId="18744" xr:uid="{C6F197AD-6544-435F-A0E2-162A4DC32AC4}"/>
    <cellStyle name="Normal 5 3 5 6" xfId="2171" xr:uid="{00000000-0005-0000-0000-0000851A0000}"/>
    <cellStyle name="Normal 5 3 5 6 2" xfId="4400" xr:uid="{00000000-0005-0000-0000-0000861A0000}"/>
    <cellStyle name="Normal 5 3 5 6 2 2" xfId="8622" xr:uid="{00000000-0005-0000-0000-0000871A0000}"/>
    <cellStyle name="Normal 5 3 5 6 2 2 2" xfId="17072" xr:uid="{56F6F728-E169-46FF-A0AE-13E3374DB9D2}"/>
    <cellStyle name="Normal 5 3 5 6 2 2 3" xfId="25519" xr:uid="{BB5F3128-F844-452B-8137-5D6D4944C53F}"/>
    <cellStyle name="Normal 5 3 5 6 2 3" xfId="12854" xr:uid="{F9F4DB90-0B4B-4DB1-8E56-2EF39586EA7B}"/>
    <cellStyle name="Normal 5 3 5 6 2 4" xfId="21302" xr:uid="{CCFA1F04-25B7-4EAC-8B38-888709006232}"/>
    <cellStyle name="Normal 5 3 5 6 3" xfId="6477" xr:uid="{00000000-0005-0000-0000-0000881A0000}"/>
    <cellStyle name="Normal 5 3 5 6 3 2" xfId="14927" xr:uid="{2DE5AFA2-A091-4934-994E-D5A1EEABC87D}"/>
    <cellStyle name="Normal 5 3 5 6 3 3" xfId="23374" xr:uid="{E14CB443-8D0F-42F4-B10C-FF31D0434547}"/>
    <cellStyle name="Normal 5 3 5 6 4" xfId="10709" xr:uid="{85D981E1-87A6-4D2D-8A79-E223877A7283}"/>
    <cellStyle name="Normal 5 3 5 6 5" xfId="19157" xr:uid="{557ADC3E-CB65-4D82-95DB-FA41AB8710DA}"/>
    <cellStyle name="Normal 5 3 5 7" xfId="2607" xr:uid="{00000000-0005-0000-0000-0000891A0000}"/>
    <cellStyle name="Normal 5 3 5 7 2" xfId="6890" xr:uid="{00000000-0005-0000-0000-00008A1A0000}"/>
    <cellStyle name="Normal 5 3 5 7 2 2" xfId="15340" xr:uid="{BE8C5F77-23DE-4118-8AFD-8B993735D403}"/>
    <cellStyle name="Normal 5 3 5 7 2 3" xfId="23787" xr:uid="{A9440481-DEE9-414F-A524-964D454DC5B6}"/>
    <cellStyle name="Normal 5 3 5 7 3" xfId="11122" xr:uid="{D3F3E26B-D3EF-4285-82D2-53FF2DB567CF}"/>
    <cellStyle name="Normal 5 3 5 7 4" xfId="19570" xr:uid="{D798DCB4-9351-4003-A7D5-7AD4B43FFBAA}"/>
    <cellStyle name="Normal 5 3 5 8" xfId="4825" xr:uid="{00000000-0005-0000-0000-00008B1A0000}"/>
    <cellStyle name="Normal 5 3 5 8 2" xfId="13275" xr:uid="{F49A2249-0D50-4E4C-A570-768E055D203B}"/>
    <cellStyle name="Normal 5 3 5 8 3" xfId="21722" xr:uid="{6FEFCBD9-8939-4C50-9167-12A70EF784D8}"/>
    <cellStyle name="Normal 5 3 5 9" xfId="9057" xr:uid="{C9B11F25-9BB1-4DFC-BD4F-561FE2A83A98}"/>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2 2 2" xfId="15835" xr:uid="{4BCFEDE7-4B3D-4053-8A7D-A0C31CE07311}"/>
    <cellStyle name="Normal 5 3 6 2 2 2 3" xfId="24282" xr:uid="{E093EB8C-7149-46BD-AEFE-313FD0AD3868}"/>
    <cellStyle name="Normal 5 3 6 2 2 3" xfId="11617" xr:uid="{B9AE2201-C000-4829-8B34-9C8958680D0A}"/>
    <cellStyle name="Normal 5 3 6 2 2 4" xfId="20065" xr:uid="{B85F09E2-229C-412F-8801-ACF5E8D2C8BA}"/>
    <cellStyle name="Normal 5 3 6 2 3" xfId="5240" xr:uid="{00000000-0005-0000-0000-0000901A0000}"/>
    <cellStyle name="Normal 5 3 6 2 3 2" xfId="13690" xr:uid="{CD2EBEBA-DF4E-4775-857C-CEA97064FC07}"/>
    <cellStyle name="Normal 5 3 6 2 3 3" xfId="22137" xr:uid="{C99A2C8F-7518-4B35-B4A8-ED849F0D1367}"/>
    <cellStyle name="Normal 5 3 6 2 4" xfId="9472" xr:uid="{F9117475-2846-4395-865F-C24A6454C5AA}"/>
    <cellStyle name="Normal 5 3 6 2 5" xfId="17920" xr:uid="{94B8DF34-3525-4D63-A55E-CAB44BE04A3E}"/>
    <cellStyle name="Normal 5 3 6 3" xfId="1346" xr:uid="{00000000-0005-0000-0000-0000911A0000}"/>
    <cellStyle name="Normal 5 3 6 3 2" xfId="3576" xr:uid="{00000000-0005-0000-0000-0000921A0000}"/>
    <cellStyle name="Normal 5 3 6 3 2 2" xfId="7798" xr:uid="{00000000-0005-0000-0000-0000931A0000}"/>
    <cellStyle name="Normal 5 3 6 3 2 2 2" xfId="16248" xr:uid="{BEA19D33-9F5C-494D-993F-2A3B5EFDB11B}"/>
    <cellStyle name="Normal 5 3 6 3 2 2 3" xfId="24695" xr:uid="{7D49B0C9-48A7-459D-9513-A40955BE9EBF}"/>
    <cellStyle name="Normal 5 3 6 3 2 3" xfId="12030" xr:uid="{B6505588-652A-40FC-BB4B-B4ABDEF0242F}"/>
    <cellStyle name="Normal 5 3 6 3 2 4" xfId="20478" xr:uid="{EEFBEE39-834E-4DEE-9538-3744509FD8ED}"/>
    <cellStyle name="Normal 5 3 6 3 3" xfId="5653" xr:uid="{00000000-0005-0000-0000-0000941A0000}"/>
    <cellStyle name="Normal 5 3 6 3 3 2" xfId="14103" xr:uid="{E54C455E-A58E-4060-9E0B-9A2E7FC8BFDA}"/>
    <cellStyle name="Normal 5 3 6 3 3 3" xfId="22550" xr:uid="{49735784-4DB2-4CA2-B4E1-EAAF8B605EAE}"/>
    <cellStyle name="Normal 5 3 6 3 4" xfId="9885" xr:uid="{711C6585-B422-4210-A8BD-7D4ABFC8F735}"/>
    <cellStyle name="Normal 5 3 6 3 5" xfId="18333" xr:uid="{494C47BA-89EF-4EB1-B194-5AE4E760BF08}"/>
    <cellStyle name="Normal 5 3 6 4" xfId="1759" xr:uid="{00000000-0005-0000-0000-0000951A0000}"/>
    <cellStyle name="Normal 5 3 6 4 2" xfId="3989" xr:uid="{00000000-0005-0000-0000-0000961A0000}"/>
    <cellStyle name="Normal 5 3 6 4 2 2" xfId="8211" xr:uid="{00000000-0005-0000-0000-0000971A0000}"/>
    <cellStyle name="Normal 5 3 6 4 2 2 2" xfId="16661" xr:uid="{228E2540-D07D-4267-B8F5-CDD09F28728A}"/>
    <cellStyle name="Normal 5 3 6 4 2 2 3" xfId="25108" xr:uid="{95EC7DBF-8382-4D3B-B432-3E9DADF1DA1A}"/>
    <cellStyle name="Normal 5 3 6 4 2 3" xfId="12443" xr:uid="{140F9508-E243-4BFD-AFA6-EEB29B07437B}"/>
    <cellStyle name="Normal 5 3 6 4 2 4" xfId="20891" xr:uid="{DA77127D-E9FC-490D-8E18-2BA917A9C010}"/>
    <cellStyle name="Normal 5 3 6 4 3" xfId="6066" xr:uid="{00000000-0005-0000-0000-0000981A0000}"/>
    <cellStyle name="Normal 5 3 6 4 3 2" xfId="14516" xr:uid="{D87D7F8C-8F9A-4A90-94D2-B6F910AD189C}"/>
    <cellStyle name="Normal 5 3 6 4 3 3" xfId="22963" xr:uid="{16A34AA8-1ECB-44E1-BAA1-2371C1F33C9A}"/>
    <cellStyle name="Normal 5 3 6 4 4" xfId="10298" xr:uid="{88047884-E5CF-40E5-9F45-9721A63D6B70}"/>
    <cellStyle name="Normal 5 3 6 4 5" xfId="18746" xr:uid="{8288D158-375F-426B-84FA-78FE0C4AB228}"/>
    <cellStyle name="Normal 5 3 6 5" xfId="2173" xr:uid="{00000000-0005-0000-0000-0000991A0000}"/>
    <cellStyle name="Normal 5 3 6 5 2" xfId="4402" xr:uid="{00000000-0005-0000-0000-00009A1A0000}"/>
    <cellStyle name="Normal 5 3 6 5 2 2" xfId="8624" xr:uid="{00000000-0005-0000-0000-00009B1A0000}"/>
    <cellStyle name="Normal 5 3 6 5 2 2 2" xfId="17074" xr:uid="{82596F40-1A60-404F-98EA-7BFCBAE5A885}"/>
    <cellStyle name="Normal 5 3 6 5 2 2 3" xfId="25521" xr:uid="{EC71E40B-1E74-4917-BD4C-4C2A635E6D0E}"/>
    <cellStyle name="Normal 5 3 6 5 2 3" xfId="12856" xr:uid="{BB0CF62D-146E-44F7-A3DA-C503F9041B52}"/>
    <cellStyle name="Normal 5 3 6 5 2 4" xfId="21304" xr:uid="{878F377E-496D-4440-8716-B6D584C25B7F}"/>
    <cellStyle name="Normal 5 3 6 5 3" xfId="6479" xr:uid="{00000000-0005-0000-0000-00009C1A0000}"/>
    <cellStyle name="Normal 5 3 6 5 3 2" xfId="14929" xr:uid="{48F75BC8-03EB-4A3E-A595-EB78D4841BA5}"/>
    <cellStyle name="Normal 5 3 6 5 3 3" xfId="23376" xr:uid="{23A295F8-B2C3-4C66-A3F1-87B4C79C9961}"/>
    <cellStyle name="Normal 5 3 6 5 4" xfId="10711" xr:uid="{EC998869-D2DE-475A-806F-6DAE077E2EB8}"/>
    <cellStyle name="Normal 5 3 6 5 5" xfId="19159" xr:uid="{B2C4A54E-177D-4EAE-860F-701E6E98C1E0}"/>
    <cellStyle name="Normal 5 3 6 6" xfId="2609" xr:uid="{00000000-0005-0000-0000-00009D1A0000}"/>
    <cellStyle name="Normal 5 3 6 6 2" xfId="6892" xr:uid="{00000000-0005-0000-0000-00009E1A0000}"/>
    <cellStyle name="Normal 5 3 6 6 2 2" xfId="15342" xr:uid="{5F513515-96D1-4B31-B0E2-EB4DB82EB7F2}"/>
    <cellStyle name="Normal 5 3 6 6 2 3" xfId="23789" xr:uid="{79201A8D-06F7-4F53-A6D8-720045DE465E}"/>
    <cellStyle name="Normal 5 3 6 6 3" xfId="11124" xr:uid="{126055DB-ABCD-4DCB-80F1-AA9AA0746746}"/>
    <cellStyle name="Normal 5 3 6 6 4" xfId="19572" xr:uid="{6542E633-39ED-4155-9AD2-DE3CFE0C1765}"/>
    <cellStyle name="Normal 5 3 6 7" xfId="4827" xr:uid="{00000000-0005-0000-0000-00009F1A0000}"/>
    <cellStyle name="Normal 5 3 6 7 2" xfId="13277" xr:uid="{510673E0-CF79-4098-9FFB-77B57F3A4364}"/>
    <cellStyle name="Normal 5 3 6 7 3" xfId="21724" xr:uid="{0025ED54-1C9C-47FE-8E0B-90F3A6A155DE}"/>
    <cellStyle name="Normal 5 3 6 8" xfId="9059" xr:uid="{DEE9B2CA-95C4-4CF7-B514-0F6A379ABF36}"/>
    <cellStyle name="Normal 5 3 6 9" xfId="17507" xr:uid="{27B269D1-55DD-41EB-A30B-CA8EF5B935F2}"/>
    <cellStyle name="Normal 5 3 7" xfId="913" xr:uid="{00000000-0005-0000-0000-0000A01A0000}"/>
    <cellStyle name="Normal 5 3 7 2" xfId="3148" xr:uid="{00000000-0005-0000-0000-0000A11A0000}"/>
    <cellStyle name="Normal 5 3 7 2 2" xfId="7370" xr:uid="{00000000-0005-0000-0000-0000A21A0000}"/>
    <cellStyle name="Normal 5 3 7 2 2 2" xfId="15820" xr:uid="{E8E6AE20-47C3-44F2-9F33-C9A47A4071E2}"/>
    <cellStyle name="Normal 5 3 7 2 2 3" xfId="24267" xr:uid="{E9332597-F426-45F3-A52D-40EACCDB0539}"/>
    <cellStyle name="Normal 5 3 7 2 3" xfId="11602" xr:uid="{82004E25-C593-4215-9AD0-7920CF18D893}"/>
    <cellStyle name="Normal 5 3 7 2 4" xfId="20050" xr:uid="{B022055C-D72E-413E-9499-B49AC5E0A28E}"/>
    <cellStyle name="Normal 5 3 7 3" xfId="5225" xr:uid="{00000000-0005-0000-0000-0000A31A0000}"/>
    <cellStyle name="Normal 5 3 7 3 2" xfId="13675" xr:uid="{A7292FF3-6DDB-4C61-A277-565852B23F08}"/>
    <cellStyle name="Normal 5 3 7 3 3" xfId="22122" xr:uid="{30F83911-0365-44A5-A6DA-4D945CC90F49}"/>
    <cellStyle name="Normal 5 3 7 4" xfId="9457" xr:uid="{13B4B9FB-E407-4E50-9CDA-18A7D024B3DB}"/>
    <cellStyle name="Normal 5 3 7 5" xfId="17905" xr:uid="{4D0F3181-455B-4BFC-B525-0AE2297D0FB4}"/>
    <cellStyle name="Normal 5 3 8" xfId="1331" xr:uid="{00000000-0005-0000-0000-0000A41A0000}"/>
    <cellStyle name="Normal 5 3 8 2" xfId="3561" xr:uid="{00000000-0005-0000-0000-0000A51A0000}"/>
    <cellStyle name="Normal 5 3 8 2 2" xfId="7783" xr:uid="{00000000-0005-0000-0000-0000A61A0000}"/>
    <cellStyle name="Normal 5 3 8 2 2 2" xfId="16233" xr:uid="{D712536A-FF37-408C-9234-0E6171076A0C}"/>
    <cellStyle name="Normal 5 3 8 2 2 3" xfId="24680" xr:uid="{5DC65D33-2787-46F2-A728-015106F551FB}"/>
    <cellStyle name="Normal 5 3 8 2 3" xfId="12015" xr:uid="{B70F5B0D-2809-46F0-A69D-A8C3C572C53E}"/>
    <cellStyle name="Normal 5 3 8 2 4" xfId="20463" xr:uid="{359D1FE2-86A6-4295-BE3B-E75A43FBA546}"/>
    <cellStyle name="Normal 5 3 8 3" xfId="5638" xr:uid="{00000000-0005-0000-0000-0000A71A0000}"/>
    <cellStyle name="Normal 5 3 8 3 2" xfId="14088" xr:uid="{BA534362-74DA-426D-BA0C-B8DE8E9D6E3D}"/>
    <cellStyle name="Normal 5 3 8 3 3" xfId="22535" xr:uid="{9E966B46-9974-42E9-8A49-5DE5492395E1}"/>
    <cellStyle name="Normal 5 3 8 4" xfId="9870" xr:uid="{01B3E6FA-8E59-4385-BE6F-E9FEF07CA68C}"/>
    <cellStyle name="Normal 5 3 8 5" xfId="18318" xr:uid="{FE957BD3-28EC-4941-A812-10EE684ABF4B}"/>
    <cellStyle name="Normal 5 3 9" xfId="1744" xr:uid="{00000000-0005-0000-0000-0000A81A0000}"/>
    <cellStyle name="Normal 5 3 9 2" xfId="3974" xr:uid="{00000000-0005-0000-0000-0000A91A0000}"/>
    <cellStyle name="Normal 5 3 9 2 2" xfId="8196" xr:uid="{00000000-0005-0000-0000-0000AA1A0000}"/>
    <cellStyle name="Normal 5 3 9 2 2 2" xfId="16646" xr:uid="{FAE10DEC-4F99-45A6-B3A7-A9F559CAE351}"/>
    <cellStyle name="Normal 5 3 9 2 2 3" xfId="25093" xr:uid="{7AD3B540-3021-4B88-A1B8-217B54072BAB}"/>
    <cellStyle name="Normal 5 3 9 2 3" xfId="12428" xr:uid="{30EC6EB2-93E9-41F0-98F2-5FA86C747F95}"/>
    <cellStyle name="Normal 5 3 9 2 4" xfId="20876" xr:uid="{20A447ED-0579-4057-940A-5E531E0EFB4D}"/>
    <cellStyle name="Normal 5 3 9 3" xfId="6051" xr:uid="{00000000-0005-0000-0000-0000AB1A0000}"/>
    <cellStyle name="Normal 5 3 9 3 2" xfId="14501" xr:uid="{6B5D8AA1-DB3C-4482-BBC9-697D96139738}"/>
    <cellStyle name="Normal 5 3 9 3 3" xfId="22948" xr:uid="{06A6431F-B641-44B1-9414-2546781C5A57}"/>
    <cellStyle name="Normal 5 3 9 4" xfId="10283" xr:uid="{8DA77B65-1302-42A3-AACC-2E8C3497A199}"/>
    <cellStyle name="Normal 5 3 9 5" xfId="18731" xr:uid="{B813DFF5-50C9-4B65-A66C-CAFD5B8DE70B}"/>
    <cellStyle name="Normal 5 4" xfId="456" xr:uid="{00000000-0005-0000-0000-0000AC1A0000}"/>
    <cellStyle name="Normal 5 4 10" xfId="4828" xr:uid="{00000000-0005-0000-0000-0000AD1A0000}"/>
    <cellStyle name="Normal 5 4 10 2" xfId="13278" xr:uid="{01AF61B1-E3DF-47A2-8BF2-3B241C9557DE}"/>
    <cellStyle name="Normal 5 4 10 3" xfId="21725" xr:uid="{A9B7F766-FC09-464A-9C29-C4FCAB3F694E}"/>
    <cellStyle name="Normal 5 4 11" xfId="9060" xr:uid="{4C9B154D-2D2D-4460-B149-E72B9332C523}"/>
    <cellStyle name="Normal 5 4 12" xfId="17508" xr:uid="{C9A79B2F-86C1-4D6E-8F69-3A4832741A85}"/>
    <cellStyle name="Normal 5 4 2" xfId="457" xr:uid="{00000000-0005-0000-0000-0000AE1A0000}"/>
    <cellStyle name="Normal 5 4 2 10" xfId="9061" xr:uid="{1B289F76-D434-47C2-BBA9-00BFE194FCF8}"/>
    <cellStyle name="Normal 5 4 2 11" xfId="17509" xr:uid="{6FCD4957-7E07-4D10-8E30-31DDBB6BB960}"/>
    <cellStyle name="Normal 5 4 2 2" xfId="458" xr:uid="{00000000-0005-0000-0000-0000AF1A0000}"/>
    <cellStyle name="Normal 5 4 2 2 10" xfId="17510" xr:uid="{1DE1AB68-D5DB-4F24-B960-C769D601B8C7}"/>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2 2 2" xfId="15839" xr:uid="{15A954C5-5F4A-4CB6-BD31-EBBA06CE12F1}"/>
    <cellStyle name="Normal 5 4 2 2 2 2 2 2 3" xfId="24286" xr:uid="{96111B6C-562E-4C50-8C02-526821912C51}"/>
    <cellStyle name="Normal 5 4 2 2 2 2 2 3" xfId="11621" xr:uid="{FBB70D38-2973-4677-981A-8AD7B6AC0A5B}"/>
    <cellStyle name="Normal 5 4 2 2 2 2 2 4" xfId="20069" xr:uid="{02164E47-59A6-4DB1-96C1-BD74851582C5}"/>
    <cellStyle name="Normal 5 4 2 2 2 2 3" xfId="5244" xr:uid="{00000000-0005-0000-0000-0000B41A0000}"/>
    <cellStyle name="Normal 5 4 2 2 2 2 3 2" xfId="13694" xr:uid="{163BE006-D07A-48AE-8C31-A361DAD7A76E}"/>
    <cellStyle name="Normal 5 4 2 2 2 2 3 3" xfId="22141" xr:uid="{3EB6A26F-2B00-49B6-81B2-697D87B6CF36}"/>
    <cellStyle name="Normal 5 4 2 2 2 2 4" xfId="9476" xr:uid="{809A2263-061B-46E6-A835-8BD725EE627A}"/>
    <cellStyle name="Normal 5 4 2 2 2 2 5" xfId="17924" xr:uid="{DF266791-B0AF-4BF6-AA85-4B0FF145F51D}"/>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2 2 2" xfId="16252" xr:uid="{B83A9E9F-B2A1-4DD9-8CEB-88380D5D0A8A}"/>
    <cellStyle name="Normal 5 4 2 2 2 3 2 2 3" xfId="24699" xr:uid="{F0E792D7-8E38-4C8D-BA5C-9EC4FA280A3A}"/>
    <cellStyle name="Normal 5 4 2 2 2 3 2 3" xfId="12034" xr:uid="{B045684D-572A-4AE1-A214-614004DB7490}"/>
    <cellStyle name="Normal 5 4 2 2 2 3 2 4" xfId="20482" xr:uid="{F6D0A578-4495-44CB-85A7-1A24951BB3D1}"/>
    <cellStyle name="Normal 5 4 2 2 2 3 3" xfId="5657" xr:uid="{00000000-0005-0000-0000-0000B81A0000}"/>
    <cellStyle name="Normal 5 4 2 2 2 3 3 2" xfId="14107" xr:uid="{5B7034EB-1F3F-4594-B8D7-4F0D29F74FC7}"/>
    <cellStyle name="Normal 5 4 2 2 2 3 3 3" xfId="22554" xr:uid="{1FDE8904-0FF7-4F8C-B6F2-9910E37C645B}"/>
    <cellStyle name="Normal 5 4 2 2 2 3 4" xfId="9889" xr:uid="{AB58CA81-1264-4F96-B54E-AE53115960BF}"/>
    <cellStyle name="Normal 5 4 2 2 2 3 5" xfId="18337" xr:uid="{F555AEEA-1035-4A80-A84E-BDD10DC2C162}"/>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2 2 2" xfId="16665" xr:uid="{4FCFED6E-FE2A-469F-9C15-D669CD7E6848}"/>
    <cellStyle name="Normal 5 4 2 2 2 4 2 2 3" xfId="25112" xr:uid="{4219FCF4-9572-4C6F-85F0-499EFBE3D4B3}"/>
    <cellStyle name="Normal 5 4 2 2 2 4 2 3" xfId="12447" xr:uid="{FEBD88B2-DC45-444C-8CBB-866C04441625}"/>
    <cellStyle name="Normal 5 4 2 2 2 4 2 4" xfId="20895" xr:uid="{C7DB6EB6-2790-4411-AA87-F3C7B9EBAC98}"/>
    <cellStyle name="Normal 5 4 2 2 2 4 3" xfId="6070" xr:uid="{00000000-0005-0000-0000-0000BC1A0000}"/>
    <cellStyle name="Normal 5 4 2 2 2 4 3 2" xfId="14520" xr:uid="{EAB781A1-4FEF-4876-BBE7-354BD520CE10}"/>
    <cellStyle name="Normal 5 4 2 2 2 4 3 3" xfId="22967" xr:uid="{AC7C0FDC-D772-4C13-AE55-9CB66F7311AE}"/>
    <cellStyle name="Normal 5 4 2 2 2 4 4" xfId="10302" xr:uid="{D20C42CB-99C0-4300-AC4C-1ED82440F2B3}"/>
    <cellStyle name="Normal 5 4 2 2 2 4 5" xfId="18750" xr:uid="{C64D4A04-5DB4-4CB1-A18A-4CC1DC9007E7}"/>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2 2 2" xfId="17078" xr:uid="{368DF520-9C85-4589-AB21-8599519863F6}"/>
    <cellStyle name="Normal 5 4 2 2 2 5 2 2 3" xfId="25525" xr:uid="{CD4A8381-F4F3-43C3-B9BB-A63ADB028C0C}"/>
    <cellStyle name="Normal 5 4 2 2 2 5 2 3" xfId="12860" xr:uid="{FC1E3F56-9F51-45C4-B580-433D78AD4A2E}"/>
    <cellStyle name="Normal 5 4 2 2 2 5 2 4" xfId="21308" xr:uid="{AF094C50-0250-4B6E-B2C8-F565CFE6BC03}"/>
    <cellStyle name="Normal 5 4 2 2 2 5 3" xfId="6483" xr:uid="{00000000-0005-0000-0000-0000C01A0000}"/>
    <cellStyle name="Normal 5 4 2 2 2 5 3 2" xfId="14933" xr:uid="{D5F341DC-EE9E-4F7D-AA1D-D9C88B76F638}"/>
    <cellStyle name="Normal 5 4 2 2 2 5 3 3" xfId="23380" xr:uid="{5593751C-3AE2-43E8-9ADE-39F4DCF82691}"/>
    <cellStyle name="Normal 5 4 2 2 2 5 4" xfId="10715" xr:uid="{67D30D0C-2044-4DA5-B966-803E2210A6E4}"/>
    <cellStyle name="Normal 5 4 2 2 2 5 5" xfId="19163" xr:uid="{7777E78B-4D70-4D8A-ABFE-13B5BE18DF78}"/>
    <cellStyle name="Normal 5 4 2 2 2 6" xfId="2613" xr:uid="{00000000-0005-0000-0000-0000C11A0000}"/>
    <cellStyle name="Normal 5 4 2 2 2 6 2" xfId="6896" xr:uid="{00000000-0005-0000-0000-0000C21A0000}"/>
    <cellStyle name="Normal 5 4 2 2 2 6 2 2" xfId="15346" xr:uid="{2961FFED-827A-4A9A-A2BF-6B7F9AAA6D88}"/>
    <cellStyle name="Normal 5 4 2 2 2 6 2 3" xfId="23793" xr:uid="{1515461D-4EB0-4E52-ADAE-EB42948B6B2B}"/>
    <cellStyle name="Normal 5 4 2 2 2 6 3" xfId="11128" xr:uid="{AA11A976-D72A-4A30-A20C-8C6BC4D2E7E4}"/>
    <cellStyle name="Normal 5 4 2 2 2 6 4" xfId="19576" xr:uid="{8EFE5446-B837-4CDB-8162-6FD460C7699D}"/>
    <cellStyle name="Normal 5 4 2 2 2 7" xfId="4831" xr:uid="{00000000-0005-0000-0000-0000C31A0000}"/>
    <cellStyle name="Normal 5 4 2 2 2 7 2" xfId="13281" xr:uid="{8E218C07-A960-4B64-A4AD-61AEA1D3C4FB}"/>
    <cellStyle name="Normal 5 4 2 2 2 7 3" xfId="21728" xr:uid="{F6921512-2E08-43BF-A84D-B483CED75D92}"/>
    <cellStyle name="Normal 5 4 2 2 2 8" xfId="9063" xr:uid="{6549DA97-3119-4435-ACE3-77FFF5D04A62}"/>
    <cellStyle name="Normal 5 4 2 2 2 9" xfId="17511" xr:uid="{55612241-1409-41B3-A111-AC3A2FEF59EA}"/>
    <cellStyle name="Normal 5 4 2 2 3" xfId="932" xr:uid="{00000000-0005-0000-0000-0000C41A0000}"/>
    <cellStyle name="Normal 5 4 2 2 3 2" xfId="3166" xr:uid="{00000000-0005-0000-0000-0000C51A0000}"/>
    <cellStyle name="Normal 5 4 2 2 3 2 2" xfId="7388" xr:uid="{00000000-0005-0000-0000-0000C61A0000}"/>
    <cellStyle name="Normal 5 4 2 2 3 2 2 2" xfId="15838" xr:uid="{100B3202-AD72-48EA-A7F4-09340170A7B3}"/>
    <cellStyle name="Normal 5 4 2 2 3 2 2 3" xfId="24285" xr:uid="{D43CB2B8-7C22-4B3C-8454-5F517A57B9A5}"/>
    <cellStyle name="Normal 5 4 2 2 3 2 3" xfId="11620" xr:uid="{ADA523C7-4036-45F0-AF1F-1A9397C68414}"/>
    <cellStyle name="Normal 5 4 2 2 3 2 4" xfId="20068" xr:uid="{7C84E6C4-2770-4F5F-B264-A9FB974DD02C}"/>
    <cellStyle name="Normal 5 4 2 2 3 3" xfId="5243" xr:uid="{00000000-0005-0000-0000-0000C71A0000}"/>
    <cellStyle name="Normal 5 4 2 2 3 3 2" xfId="13693" xr:uid="{9B8ABD19-3B62-4E56-9B43-2C546790D250}"/>
    <cellStyle name="Normal 5 4 2 2 3 3 3" xfId="22140" xr:uid="{971D9EB6-DFE2-4AE9-941B-EB10240C346F}"/>
    <cellStyle name="Normal 5 4 2 2 3 4" xfId="9475" xr:uid="{E0722DD2-DDEA-405C-BBDD-3B20E273D739}"/>
    <cellStyle name="Normal 5 4 2 2 3 5" xfId="17923" xr:uid="{01A1F8B8-2F22-486C-8E16-D9D63765316D}"/>
    <cellStyle name="Normal 5 4 2 2 4" xfId="1349" xr:uid="{00000000-0005-0000-0000-0000C81A0000}"/>
    <cellStyle name="Normal 5 4 2 2 4 2" xfId="3579" xr:uid="{00000000-0005-0000-0000-0000C91A0000}"/>
    <cellStyle name="Normal 5 4 2 2 4 2 2" xfId="7801" xr:uid="{00000000-0005-0000-0000-0000CA1A0000}"/>
    <cellStyle name="Normal 5 4 2 2 4 2 2 2" xfId="16251" xr:uid="{CB481D96-E046-4AF5-9753-CBD97998CA79}"/>
    <cellStyle name="Normal 5 4 2 2 4 2 2 3" xfId="24698" xr:uid="{9986F7A6-5617-4DAA-BF7F-36769E94EBA0}"/>
    <cellStyle name="Normal 5 4 2 2 4 2 3" xfId="12033" xr:uid="{1FD0C27A-0FA3-472E-B75A-7BA2894E5564}"/>
    <cellStyle name="Normal 5 4 2 2 4 2 4" xfId="20481" xr:uid="{85CB420E-C917-447A-92BF-99EBAF878AA3}"/>
    <cellStyle name="Normal 5 4 2 2 4 3" xfId="5656" xr:uid="{00000000-0005-0000-0000-0000CB1A0000}"/>
    <cellStyle name="Normal 5 4 2 2 4 3 2" xfId="14106" xr:uid="{F0A93D3B-8027-4C2D-98B7-AEA203B02D34}"/>
    <cellStyle name="Normal 5 4 2 2 4 3 3" xfId="22553" xr:uid="{78A52760-0F5E-4AAB-9A70-21A24A73E591}"/>
    <cellStyle name="Normal 5 4 2 2 4 4" xfId="9888" xr:uid="{89D67397-8566-4F46-B741-1A577AE12AC5}"/>
    <cellStyle name="Normal 5 4 2 2 4 5" xfId="18336" xr:uid="{A5C01A17-529B-431C-BFCC-0AEBE39E391E}"/>
    <cellStyle name="Normal 5 4 2 2 5" xfId="1762" xr:uid="{00000000-0005-0000-0000-0000CC1A0000}"/>
    <cellStyle name="Normal 5 4 2 2 5 2" xfId="3992" xr:uid="{00000000-0005-0000-0000-0000CD1A0000}"/>
    <cellStyle name="Normal 5 4 2 2 5 2 2" xfId="8214" xr:uid="{00000000-0005-0000-0000-0000CE1A0000}"/>
    <cellStyle name="Normal 5 4 2 2 5 2 2 2" xfId="16664" xr:uid="{D2CA5E7C-6FF6-4FA8-B9C1-758FA3975F19}"/>
    <cellStyle name="Normal 5 4 2 2 5 2 2 3" xfId="25111" xr:uid="{D74D9668-071A-4B1C-A3D3-1954A9905505}"/>
    <cellStyle name="Normal 5 4 2 2 5 2 3" xfId="12446" xr:uid="{D444E21B-9082-41D7-A6AA-40F1961E5873}"/>
    <cellStyle name="Normal 5 4 2 2 5 2 4" xfId="20894" xr:uid="{20E59B12-2177-4192-AD9B-50162617B645}"/>
    <cellStyle name="Normal 5 4 2 2 5 3" xfId="6069" xr:uid="{00000000-0005-0000-0000-0000CF1A0000}"/>
    <cellStyle name="Normal 5 4 2 2 5 3 2" xfId="14519" xr:uid="{67E05FE9-FD6A-44CF-B15C-E49ABF0FDD93}"/>
    <cellStyle name="Normal 5 4 2 2 5 3 3" xfId="22966" xr:uid="{DD730315-7995-4139-BF4D-FB4A1E11A890}"/>
    <cellStyle name="Normal 5 4 2 2 5 4" xfId="10301" xr:uid="{0481010F-27AE-486C-BADF-2BC12B1E7DB5}"/>
    <cellStyle name="Normal 5 4 2 2 5 5" xfId="18749" xr:uid="{6A83E8FB-9FD6-4F6E-B301-9FF3AE8F7D5F}"/>
    <cellStyle name="Normal 5 4 2 2 6" xfId="2176" xr:uid="{00000000-0005-0000-0000-0000D01A0000}"/>
    <cellStyle name="Normal 5 4 2 2 6 2" xfId="4405" xr:uid="{00000000-0005-0000-0000-0000D11A0000}"/>
    <cellStyle name="Normal 5 4 2 2 6 2 2" xfId="8627" xr:uid="{00000000-0005-0000-0000-0000D21A0000}"/>
    <cellStyle name="Normal 5 4 2 2 6 2 2 2" xfId="17077" xr:uid="{B071CBAD-622B-48B7-8A77-9D929E971B84}"/>
    <cellStyle name="Normal 5 4 2 2 6 2 2 3" xfId="25524" xr:uid="{BB0C9B92-3D7D-45DD-908B-93E1BBBBF4CA}"/>
    <cellStyle name="Normal 5 4 2 2 6 2 3" xfId="12859" xr:uid="{210CFF4F-E094-4EE0-A360-C8014E961812}"/>
    <cellStyle name="Normal 5 4 2 2 6 2 4" xfId="21307" xr:uid="{88050970-8F3A-48F9-8BA9-459498304673}"/>
    <cellStyle name="Normal 5 4 2 2 6 3" xfId="6482" xr:uid="{00000000-0005-0000-0000-0000D31A0000}"/>
    <cellStyle name="Normal 5 4 2 2 6 3 2" xfId="14932" xr:uid="{48DB2B5D-CF07-4E2F-A23F-4D9350A33EF3}"/>
    <cellStyle name="Normal 5 4 2 2 6 3 3" xfId="23379" xr:uid="{4548D285-62CA-466B-874C-5BBAA4D10189}"/>
    <cellStyle name="Normal 5 4 2 2 6 4" xfId="10714" xr:uid="{70695710-C6B9-4CDF-B458-DA68FBF81DD3}"/>
    <cellStyle name="Normal 5 4 2 2 6 5" xfId="19162" xr:uid="{0739E31E-2BD0-4A95-A718-FB0B0BB6E9BF}"/>
    <cellStyle name="Normal 5 4 2 2 7" xfId="2612" xr:uid="{00000000-0005-0000-0000-0000D41A0000}"/>
    <cellStyle name="Normal 5 4 2 2 7 2" xfId="6895" xr:uid="{00000000-0005-0000-0000-0000D51A0000}"/>
    <cellStyle name="Normal 5 4 2 2 7 2 2" xfId="15345" xr:uid="{EDB654E7-CDBA-4447-873B-36D2682C81F4}"/>
    <cellStyle name="Normal 5 4 2 2 7 2 3" xfId="23792" xr:uid="{8E2EEFD1-7E80-42A4-BF60-8E872CAAE793}"/>
    <cellStyle name="Normal 5 4 2 2 7 3" xfId="11127" xr:uid="{A3DEF265-580A-42CD-BC82-F3FFB89C8AB6}"/>
    <cellStyle name="Normal 5 4 2 2 7 4" xfId="19575" xr:uid="{78FB2659-FB16-4B8A-AA52-B75998EF8F9A}"/>
    <cellStyle name="Normal 5 4 2 2 8" xfId="4830" xr:uid="{00000000-0005-0000-0000-0000D61A0000}"/>
    <cellStyle name="Normal 5 4 2 2 8 2" xfId="13280" xr:uid="{E12DA791-6D4B-4D28-B641-37E64A072F27}"/>
    <cellStyle name="Normal 5 4 2 2 8 3" xfId="21727" xr:uid="{2F10768E-81A2-432F-AF5C-D8FF6E094DF4}"/>
    <cellStyle name="Normal 5 4 2 2 9" xfId="9062" xr:uid="{7A09AB12-BF73-4516-9330-7EEC0447CC0F}"/>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2 2 2" xfId="15840" xr:uid="{9330F250-B346-4D42-B81B-C4CFA9C76CAC}"/>
    <cellStyle name="Normal 5 4 2 3 2 2 2 3" xfId="24287" xr:uid="{BA9BC218-08EC-4F7D-8588-5DB9FF2F81FC}"/>
    <cellStyle name="Normal 5 4 2 3 2 2 3" xfId="11622" xr:uid="{D85F7B55-1161-465C-8474-798FCAA5FF3C}"/>
    <cellStyle name="Normal 5 4 2 3 2 2 4" xfId="20070" xr:uid="{B95F8492-5690-4ECE-8CE7-3EEDB64EE69D}"/>
    <cellStyle name="Normal 5 4 2 3 2 3" xfId="5245" xr:uid="{00000000-0005-0000-0000-0000DB1A0000}"/>
    <cellStyle name="Normal 5 4 2 3 2 3 2" xfId="13695" xr:uid="{2D5CF102-9FA5-4E79-AEDC-124727C9EDF4}"/>
    <cellStyle name="Normal 5 4 2 3 2 3 3" xfId="22142" xr:uid="{89E5A02D-4D8E-4C4B-ACAB-2DD52D396FF5}"/>
    <cellStyle name="Normal 5 4 2 3 2 4" xfId="9477" xr:uid="{052EF609-1C30-4609-849B-73706AFC3FD3}"/>
    <cellStyle name="Normal 5 4 2 3 2 5" xfId="17925" xr:uid="{5AF1560D-64D7-41FD-822E-0BE6F9227F2A}"/>
    <cellStyle name="Normal 5 4 2 3 3" xfId="1351" xr:uid="{00000000-0005-0000-0000-0000DC1A0000}"/>
    <cellStyle name="Normal 5 4 2 3 3 2" xfId="3581" xr:uid="{00000000-0005-0000-0000-0000DD1A0000}"/>
    <cellStyle name="Normal 5 4 2 3 3 2 2" xfId="7803" xr:uid="{00000000-0005-0000-0000-0000DE1A0000}"/>
    <cellStyle name="Normal 5 4 2 3 3 2 2 2" xfId="16253" xr:uid="{E99933C6-5AED-4856-A566-51E375BA3BBD}"/>
    <cellStyle name="Normal 5 4 2 3 3 2 2 3" xfId="24700" xr:uid="{646146A7-C0CC-4C2B-8B4E-FF74EAC6B8D8}"/>
    <cellStyle name="Normal 5 4 2 3 3 2 3" xfId="12035" xr:uid="{0339ABFE-354C-4B66-B268-0FB5C46B3274}"/>
    <cellStyle name="Normal 5 4 2 3 3 2 4" xfId="20483" xr:uid="{200C4A7E-EEAD-4206-BF51-9A2402DBB945}"/>
    <cellStyle name="Normal 5 4 2 3 3 3" xfId="5658" xr:uid="{00000000-0005-0000-0000-0000DF1A0000}"/>
    <cellStyle name="Normal 5 4 2 3 3 3 2" xfId="14108" xr:uid="{25258127-EB99-4916-8C63-B6841BBFC270}"/>
    <cellStyle name="Normal 5 4 2 3 3 3 3" xfId="22555" xr:uid="{C3BA3875-B819-4C40-B733-8D11F15CB037}"/>
    <cellStyle name="Normal 5 4 2 3 3 4" xfId="9890" xr:uid="{80F416CA-9CCD-423A-9C21-52D03A2A4298}"/>
    <cellStyle name="Normal 5 4 2 3 3 5" xfId="18338" xr:uid="{553C6967-9409-49C2-959A-E0D8EB3A0351}"/>
    <cellStyle name="Normal 5 4 2 3 4" xfId="1764" xr:uid="{00000000-0005-0000-0000-0000E01A0000}"/>
    <cellStyle name="Normal 5 4 2 3 4 2" xfId="3994" xr:uid="{00000000-0005-0000-0000-0000E11A0000}"/>
    <cellStyle name="Normal 5 4 2 3 4 2 2" xfId="8216" xr:uid="{00000000-0005-0000-0000-0000E21A0000}"/>
    <cellStyle name="Normal 5 4 2 3 4 2 2 2" xfId="16666" xr:uid="{10A26DA0-5E5D-4A03-828D-68C8D6432BAC}"/>
    <cellStyle name="Normal 5 4 2 3 4 2 2 3" xfId="25113" xr:uid="{4530B996-6B8E-4548-B9E9-4FCEA120CAA2}"/>
    <cellStyle name="Normal 5 4 2 3 4 2 3" xfId="12448" xr:uid="{5314016D-8018-4A00-BF7A-81E3864DF377}"/>
    <cellStyle name="Normal 5 4 2 3 4 2 4" xfId="20896" xr:uid="{9748B1EC-252E-4241-AE94-9F8969DC8B4A}"/>
    <cellStyle name="Normal 5 4 2 3 4 3" xfId="6071" xr:uid="{00000000-0005-0000-0000-0000E31A0000}"/>
    <cellStyle name="Normal 5 4 2 3 4 3 2" xfId="14521" xr:uid="{EB6B460E-1D70-4B80-9006-9FF5ECB4170D}"/>
    <cellStyle name="Normal 5 4 2 3 4 3 3" xfId="22968" xr:uid="{9C526B51-E246-4A86-A065-DC10382B87A3}"/>
    <cellStyle name="Normal 5 4 2 3 4 4" xfId="10303" xr:uid="{F2468BAF-8C72-4768-9B92-05BEC556F4FB}"/>
    <cellStyle name="Normal 5 4 2 3 4 5" xfId="18751" xr:uid="{BE62D21D-4556-4645-99F0-6C2A68799A3F}"/>
    <cellStyle name="Normal 5 4 2 3 5" xfId="2178" xr:uid="{00000000-0005-0000-0000-0000E41A0000}"/>
    <cellStyle name="Normal 5 4 2 3 5 2" xfId="4407" xr:uid="{00000000-0005-0000-0000-0000E51A0000}"/>
    <cellStyle name="Normal 5 4 2 3 5 2 2" xfId="8629" xr:uid="{00000000-0005-0000-0000-0000E61A0000}"/>
    <cellStyle name="Normal 5 4 2 3 5 2 2 2" xfId="17079" xr:uid="{18F38B6B-3D90-43C3-AD3D-8BEF5E4FED9E}"/>
    <cellStyle name="Normal 5 4 2 3 5 2 2 3" xfId="25526" xr:uid="{C79E3B3B-28BD-4549-A4E8-1B9EEEEF89E9}"/>
    <cellStyle name="Normal 5 4 2 3 5 2 3" xfId="12861" xr:uid="{A3023ABD-46A2-4558-9882-CD61A1D6D0A6}"/>
    <cellStyle name="Normal 5 4 2 3 5 2 4" xfId="21309" xr:uid="{6B813AA6-77EA-400C-B68A-F038EB7D4F9A}"/>
    <cellStyle name="Normal 5 4 2 3 5 3" xfId="6484" xr:uid="{00000000-0005-0000-0000-0000E71A0000}"/>
    <cellStyle name="Normal 5 4 2 3 5 3 2" xfId="14934" xr:uid="{13906458-5565-4BC5-A74C-0D53677279E3}"/>
    <cellStyle name="Normal 5 4 2 3 5 3 3" xfId="23381" xr:uid="{F536ED3D-3F69-4BBC-847D-90168ED6A4AF}"/>
    <cellStyle name="Normal 5 4 2 3 5 4" xfId="10716" xr:uid="{C09D588B-56BA-4B37-B880-FC8C57371425}"/>
    <cellStyle name="Normal 5 4 2 3 5 5" xfId="19164" xr:uid="{623EA6C3-E47D-4E2E-B3B8-C15C9D679918}"/>
    <cellStyle name="Normal 5 4 2 3 6" xfId="2614" xr:uid="{00000000-0005-0000-0000-0000E81A0000}"/>
    <cellStyle name="Normal 5 4 2 3 6 2" xfId="6897" xr:uid="{00000000-0005-0000-0000-0000E91A0000}"/>
    <cellStyle name="Normal 5 4 2 3 6 2 2" xfId="15347" xr:uid="{53800AF5-EFC6-4C63-BC4E-2728EDB7576B}"/>
    <cellStyle name="Normal 5 4 2 3 6 2 3" xfId="23794" xr:uid="{3AD33423-716F-4CE5-B1BE-D2E94E9AB606}"/>
    <cellStyle name="Normal 5 4 2 3 6 3" xfId="11129" xr:uid="{A6729888-FD17-4011-988F-C6BBE768B284}"/>
    <cellStyle name="Normal 5 4 2 3 6 4" xfId="19577" xr:uid="{E5E957E1-C990-40DA-845E-9836BF9D81E6}"/>
    <cellStyle name="Normal 5 4 2 3 7" xfId="4832" xr:uid="{00000000-0005-0000-0000-0000EA1A0000}"/>
    <cellStyle name="Normal 5 4 2 3 7 2" xfId="13282" xr:uid="{BE558F68-55BC-4BFF-AF53-F0F0AD871596}"/>
    <cellStyle name="Normal 5 4 2 3 7 3" xfId="21729" xr:uid="{D42ED2F8-0D95-48EB-9C5D-72E6837BB029}"/>
    <cellStyle name="Normal 5 4 2 3 8" xfId="9064" xr:uid="{2823F571-C5AA-4CCC-ACE2-319B8C246438}"/>
    <cellStyle name="Normal 5 4 2 3 9" xfId="17512" xr:uid="{AB06BCE8-95E9-469A-AD23-F8B6E79C7791}"/>
    <cellStyle name="Normal 5 4 2 4" xfId="931" xr:uid="{00000000-0005-0000-0000-0000EB1A0000}"/>
    <cellStyle name="Normal 5 4 2 4 2" xfId="3165" xr:uid="{00000000-0005-0000-0000-0000EC1A0000}"/>
    <cellStyle name="Normal 5 4 2 4 2 2" xfId="7387" xr:uid="{00000000-0005-0000-0000-0000ED1A0000}"/>
    <cellStyle name="Normal 5 4 2 4 2 2 2" xfId="15837" xr:uid="{F75815B1-4510-4810-8F1E-67FF9E0FF157}"/>
    <cellStyle name="Normal 5 4 2 4 2 2 3" xfId="24284" xr:uid="{E0F2F9BB-E6FE-430C-9096-12C65854653E}"/>
    <cellStyle name="Normal 5 4 2 4 2 3" xfId="11619" xr:uid="{7AF0B687-1468-4E34-B800-9F574E07976D}"/>
    <cellStyle name="Normal 5 4 2 4 2 4" xfId="20067" xr:uid="{082554F9-3BF2-4630-BFAC-C1015E7B0423}"/>
    <cellStyle name="Normal 5 4 2 4 3" xfId="5242" xr:uid="{00000000-0005-0000-0000-0000EE1A0000}"/>
    <cellStyle name="Normal 5 4 2 4 3 2" xfId="13692" xr:uid="{BB81FB52-D541-4627-AF06-3EC3F5AE86E8}"/>
    <cellStyle name="Normal 5 4 2 4 3 3" xfId="22139" xr:uid="{429CDBC6-1866-41AF-B101-D6A238C949A6}"/>
    <cellStyle name="Normal 5 4 2 4 4" xfId="9474" xr:uid="{1E58821C-B542-4E78-AF5F-DF94B5F8D4B1}"/>
    <cellStyle name="Normal 5 4 2 4 5" xfId="17922" xr:uid="{27096327-52F0-4033-9DFC-23FE4608F97B}"/>
    <cellStyle name="Normal 5 4 2 5" xfId="1348" xr:uid="{00000000-0005-0000-0000-0000EF1A0000}"/>
    <cellStyle name="Normal 5 4 2 5 2" xfId="3578" xr:uid="{00000000-0005-0000-0000-0000F01A0000}"/>
    <cellStyle name="Normal 5 4 2 5 2 2" xfId="7800" xr:uid="{00000000-0005-0000-0000-0000F11A0000}"/>
    <cellStyle name="Normal 5 4 2 5 2 2 2" xfId="16250" xr:uid="{4DBEFD9B-37C3-44D2-83D0-235322F94516}"/>
    <cellStyle name="Normal 5 4 2 5 2 2 3" xfId="24697" xr:uid="{DDA7AB08-2909-4269-93C1-21FAB05F1F88}"/>
    <cellStyle name="Normal 5 4 2 5 2 3" xfId="12032" xr:uid="{FE88A44C-54AC-464F-BBB7-C7A4155B36C4}"/>
    <cellStyle name="Normal 5 4 2 5 2 4" xfId="20480" xr:uid="{0831A759-43AF-451F-8D76-A8157784796F}"/>
    <cellStyle name="Normal 5 4 2 5 3" xfId="5655" xr:uid="{00000000-0005-0000-0000-0000F21A0000}"/>
    <cellStyle name="Normal 5 4 2 5 3 2" xfId="14105" xr:uid="{B83F76ED-B6F0-4B5D-93EF-44F2DE416333}"/>
    <cellStyle name="Normal 5 4 2 5 3 3" xfId="22552" xr:uid="{D511D502-DB6C-4EE9-9C16-C6E6FCA71EF9}"/>
    <cellStyle name="Normal 5 4 2 5 4" xfId="9887" xr:uid="{7EBBF5E2-69EB-4313-82E6-6D6C50E2D2D5}"/>
    <cellStyle name="Normal 5 4 2 5 5" xfId="18335" xr:uid="{3816AF71-D2F3-41D7-BB89-2DAFD5963F3E}"/>
    <cellStyle name="Normal 5 4 2 6" xfId="1761" xr:uid="{00000000-0005-0000-0000-0000F31A0000}"/>
    <cellStyle name="Normal 5 4 2 6 2" xfId="3991" xr:uid="{00000000-0005-0000-0000-0000F41A0000}"/>
    <cellStyle name="Normal 5 4 2 6 2 2" xfId="8213" xr:uid="{00000000-0005-0000-0000-0000F51A0000}"/>
    <cellStyle name="Normal 5 4 2 6 2 2 2" xfId="16663" xr:uid="{5A7F8AE7-117A-44C2-8444-D84FBD68E777}"/>
    <cellStyle name="Normal 5 4 2 6 2 2 3" xfId="25110" xr:uid="{CCFA581E-5433-4008-B5B9-D95FA6C3DAF8}"/>
    <cellStyle name="Normal 5 4 2 6 2 3" xfId="12445" xr:uid="{92C33944-96AC-41A5-86B3-1E38DB9997B9}"/>
    <cellStyle name="Normal 5 4 2 6 2 4" xfId="20893" xr:uid="{622C56FE-A9A6-47C9-9915-E5292CF9215D}"/>
    <cellStyle name="Normal 5 4 2 6 3" xfId="6068" xr:uid="{00000000-0005-0000-0000-0000F61A0000}"/>
    <cellStyle name="Normal 5 4 2 6 3 2" xfId="14518" xr:uid="{09748328-6D11-427A-BA16-118A8B583EDE}"/>
    <cellStyle name="Normal 5 4 2 6 3 3" xfId="22965" xr:uid="{6BFD8A11-38E1-463E-B0C4-39C2564606E8}"/>
    <cellStyle name="Normal 5 4 2 6 4" xfId="10300" xr:uid="{F9C75221-8F8F-4F39-9E30-63DD442A98F1}"/>
    <cellStyle name="Normal 5 4 2 6 5" xfId="18748" xr:uid="{5FBEB688-A678-473A-98A1-FD1D604B7955}"/>
    <cellStyle name="Normal 5 4 2 7" xfId="2175" xr:uid="{00000000-0005-0000-0000-0000F71A0000}"/>
    <cellStyle name="Normal 5 4 2 7 2" xfId="4404" xr:uid="{00000000-0005-0000-0000-0000F81A0000}"/>
    <cellStyle name="Normal 5 4 2 7 2 2" xfId="8626" xr:uid="{00000000-0005-0000-0000-0000F91A0000}"/>
    <cellStyle name="Normal 5 4 2 7 2 2 2" xfId="17076" xr:uid="{E86CC7AF-8CBA-44B0-B844-02ED25BBF377}"/>
    <cellStyle name="Normal 5 4 2 7 2 2 3" xfId="25523" xr:uid="{3FC171D9-8C9C-49E2-A817-3523E0AA92EE}"/>
    <cellStyle name="Normal 5 4 2 7 2 3" xfId="12858" xr:uid="{40C7202C-5BAA-4331-85D9-5731EA431E6C}"/>
    <cellStyle name="Normal 5 4 2 7 2 4" xfId="21306" xr:uid="{27B67C52-49D1-4D91-8807-720A458D04AD}"/>
    <cellStyle name="Normal 5 4 2 7 3" xfId="6481" xr:uid="{00000000-0005-0000-0000-0000FA1A0000}"/>
    <cellStyle name="Normal 5 4 2 7 3 2" xfId="14931" xr:uid="{C8B20A47-B548-4448-B130-E2C60282E7FC}"/>
    <cellStyle name="Normal 5 4 2 7 3 3" xfId="23378" xr:uid="{F1130876-3EB1-4172-ACDC-4250B5D3C621}"/>
    <cellStyle name="Normal 5 4 2 7 4" xfId="10713" xr:uid="{2FB5B364-37A6-40CA-992C-F95D3B2721E0}"/>
    <cellStyle name="Normal 5 4 2 7 5" xfId="19161" xr:uid="{7174C7BF-1411-47DD-B858-20F5778488CC}"/>
    <cellStyle name="Normal 5 4 2 8" xfId="2611" xr:uid="{00000000-0005-0000-0000-0000FB1A0000}"/>
    <cellStyle name="Normal 5 4 2 8 2" xfId="6894" xr:uid="{00000000-0005-0000-0000-0000FC1A0000}"/>
    <cellStyle name="Normal 5 4 2 8 2 2" xfId="15344" xr:uid="{A2959A1B-FF46-4550-8BAA-C2C96AEBDB24}"/>
    <cellStyle name="Normal 5 4 2 8 2 3" xfId="23791" xr:uid="{83CE5711-47E5-4BC6-BE1A-5C9920BB8877}"/>
    <cellStyle name="Normal 5 4 2 8 3" xfId="11126" xr:uid="{AB89B5A4-20E1-4E46-BA24-F71C32C4FDD1}"/>
    <cellStyle name="Normal 5 4 2 8 4" xfId="19574" xr:uid="{9EA3395C-E4BE-4703-ACCE-526431C0B779}"/>
    <cellStyle name="Normal 5 4 2 9" xfId="4829" xr:uid="{00000000-0005-0000-0000-0000FD1A0000}"/>
    <cellStyle name="Normal 5 4 2 9 2" xfId="13279" xr:uid="{7011AE7E-BCEA-4AB2-A6E3-BF4DF836B96F}"/>
    <cellStyle name="Normal 5 4 2 9 3" xfId="21726" xr:uid="{311418F2-A51F-48D8-A4DA-2B2B5B240765}"/>
    <cellStyle name="Normal 5 4 3" xfId="461" xr:uid="{00000000-0005-0000-0000-0000FE1A0000}"/>
    <cellStyle name="Normal 5 4 3 10" xfId="17513" xr:uid="{FD298ABA-F23A-47B6-9E80-598F4262C7FB}"/>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2 2 2" xfId="15842" xr:uid="{26D201BE-8F56-4F25-969E-0C654D8CD442}"/>
    <cellStyle name="Normal 5 4 3 2 2 2 2 3" xfId="24289" xr:uid="{EAE0BBE6-312A-400F-B549-29E1173EAFC2}"/>
    <cellStyle name="Normal 5 4 3 2 2 2 3" xfId="11624" xr:uid="{87D64387-BF3B-44E9-9A0B-B2CA02C82C9F}"/>
    <cellStyle name="Normal 5 4 3 2 2 2 4" xfId="20072" xr:uid="{1DB16F82-F2D4-4E70-896B-7D2C496B05FD}"/>
    <cellStyle name="Normal 5 4 3 2 2 3" xfId="5247" xr:uid="{00000000-0005-0000-0000-0000031B0000}"/>
    <cellStyle name="Normal 5 4 3 2 2 3 2" xfId="13697" xr:uid="{077931E7-4708-4BF9-B0B4-14459B986918}"/>
    <cellStyle name="Normal 5 4 3 2 2 3 3" xfId="22144" xr:uid="{0E8C039E-978C-4FBC-93ED-21121A762E24}"/>
    <cellStyle name="Normal 5 4 3 2 2 4" xfId="9479" xr:uid="{4D08FC11-B134-4AB1-9293-879201B92E98}"/>
    <cellStyle name="Normal 5 4 3 2 2 5" xfId="17927" xr:uid="{94196BD5-0390-4A09-B1EA-B83B0542B2EC}"/>
    <cellStyle name="Normal 5 4 3 2 3" xfId="1353" xr:uid="{00000000-0005-0000-0000-0000041B0000}"/>
    <cellStyle name="Normal 5 4 3 2 3 2" xfId="3583" xr:uid="{00000000-0005-0000-0000-0000051B0000}"/>
    <cellStyle name="Normal 5 4 3 2 3 2 2" xfId="7805" xr:uid="{00000000-0005-0000-0000-0000061B0000}"/>
    <cellStyle name="Normal 5 4 3 2 3 2 2 2" xfId="16255" xr:uid="{5CF2C69C-972B-48F7-A72D-0AF0A9275565}"/>
    <cellStyle name="Normal 5 4 3 2 3 2 2 3" xfId="24702" xr:uid="{468054B3-42BF-4B23-B202-B25B585EC13B}"/>
    <cellStyle name="Normal 5 4 3 2 3 2 3" xfId="12037" xr:uid="{BE64B830-5E58-4141-A313-BE08FB1D592C}"/>
    <cellStyle name="Normal 5 4 3 2 3 2 4" xfId="20485" xr:uid="{9E17B514-63E6-4EC7-91B5-CFEA08A6981D}"/>
    <cellStyle name="Normal 5 4 3 2 3 3" xfId="5660" xr:uid="{00000000-0005-0000-0000-0000071B0000}"/>
    <cellStyle name="Normal 5 4 3 2 3 3 2" xfId="14110" xr:uid="{917FF25B-F401-415C-8008-AB75ABD480E3}"/>
    <cellStyle name="Normal 5 4 3 2 3 3 3" xfId="22557" xr:uid="{2E8CF588-6497-42BF-AC60-3CE084B299CD}"/>
    <cellStyle name="Normal 5 4 3 2 3 4" xfId="9892" xr:uid="{3D526DDC-1322-4EEF-B2A7-4C4F9339C147}"/>
    <cellStyle name="Normal 5 4 3 2 3 5" xfId="18340" xr:uid="{DB6A38CC-7370-4CA9-A0FF-601227A7D42E}"/>
    <cellStyle name="Normal 5 4 3 2 4" xfId="1766" xr:uid="{00000000-0005-0000-0000-0000081B0000}"/>
    <cellStyle name="Normal 5 4 3 2 4 2" xfId="3996" xr:uid="{00000000-0005-0000-0000-0000091B0000}"/>
    <cellStyle name="Normal 5 4 3 2 4 2 2" xfId="8218" xr:uid="{00000000-0005-0000-0000-00000A1B0000}"/>
    <cellStyle name="Normal 5 4 3 2 4 2 2 2" xfId="16668" xr:uid="{561DFB8D-6BB6-4BCE-9EDE-7AC2D83E5577}"/>
    <cellStyle name="Normal 5 4 3 2 4 2 2 3" xfId="25115" xr:uid="{0114AB47-D831-4F97-8906-7E568F1C7B02}"/>
    <cellStyle name="Normal 5 4 3 2 4 2 3" xfId="12450" xr:uid="{EF4EF525-21E8-4242-9239-02BD042622D1}"/>
    <cellStyle name="Normal 5 4 3 2 4 2 4" xfId="20898" xr:uid="{B3490143-0DD6-40CC-AC8F-527CE16B9B44}"/>
    <cellStyle name="Normal 5 4 3 2 4 3" xfId="6073" xr:uid="{00000000-0005-0000-0000-00000B1B0000}"/>
    <cellStyle name="Normal 5 4 3 2 4 3 2" xfId="14523" xr:uid="{9954D700-B258-4777-A837-79454137BBDF}"/>
    <cellStyle name="Normal 5 4 3 2 4 3 3" xfId="22970" xr:uid="{8093C457-B8D7-4AED-80AB-C01AA19F94C2}"/>
    <cellStyle name="Normal 5 4 3 2 4 4" xfId="10305" xr:uid="{998441C9-AD11-4F4A-B4E4-E24C133773F2}"/>
    <cellStyle name="Normal 5 4 3 2 4 5" xfId="18753" xr:uid="{E0EDA7A9-C1E9-42C7-A736-9D7C1B5A63E3}"/>
    <cellStyle name="Normal 5 4 3 2 5" xfId="2180" xr:uid="{00000000-0005-0000-0000-00000C1B0000}"/>
    <cellStyle name="Normal 5 4 3 2 5 2" xfId="4409" xr:uid="{00000000-0005-0000-0000-00000D1B0000}"/>
    <cellStyle name="Normal 5 4 3 2 5 2 2" xfId="8631" xr:uid="{00000000-0005-0000-0000-00000E1B0000}"/>
    <cellStyle name="Normal 5 4 3 2 5 2 2 2" xfId="17081" xr:uid="{04454168-F37B-468A-927C-597F8D12D884}"/>
    <cellStyle name="Normal 5 4 3 2 5 2 2 3" xfId="25528" xr:uid="{0CD8B786-C22A-49F0-8CEB-3160B54941E8}"/>
    <cellStyle name="Normal 5 4 3 2 5 2 3" xfId="12863" xr:uid="{531B1BEF-685B-4676-8029-3234CAAB6AE6}"/>
    <cellStyle name="Normal 5 4 3 2 5 2 4" xfId="21311" xr:uid="{6D454174-B6E3-4180-8BE0-EC13F175B552}"/>
    <cellStyle name="Normal 5 4 3 2 5 3" xfId="6486" xr:uid="{00000000-0005-0000-0000-00000F1B0000}"/>
    <cellStyle name="Normal 5 4 3 2 5 3 2" xfId="14936" xr:uid="{3E26419E-5618-47EF-85B9-849F86051053}"/>
    <cellStyle name="Normal 5 4 3 2 5 3 3" xfId="23383" xr:uid="{D8D9F3E9-D1DD-453A-BA28-C45CDA6471F3}"/>
    <cellStyle name="Normal 5 4 3 2 5 4" xfId="10718" xr:uid="{44AE6910-39B0-4755-8B34-2F0B47C422AF}"/>
    <cellStyle name="Normal 5 4 3 2 5 5" xfId="19166" xr:uid="{949E9B05-88BE-4BFD-8079-65E443302441}"/>
    <cellStyle name="Normal 5 4 3 2 6" xfId="2616" xr:uid="{00000000-0005-0000-0000-0000101B0000}"/>
    <cellStyle name="Normal 5 4 3 2 6 2" xfId="6899" xr:uid="{00000000-0005-0000-0000-0000111B0000}"/>
    <cellStyle name="Normal 5 4 3 2 6 2 2" xfId="15349" xr:uid="{090FC1DC-DCCC-48CF-97F7-E556925CCCFF}"/>
    <cellStyle name="Normal 5 4 3 2 6 2 3" xfId="23796" xr:uid="{9A6624A3-3C25-49EB-9773-41FD888F02D6}"/>
    <cellStyle name="Normal 5 4 3 2 6 3" xfId="11131" xr:uid="{40C656AC-9159-4171-8979-A0A084BFC508}"/>
    <cellStyle name="Normal 5 4 3 2 6 4" xfId="19579" xr:uid="{3BCF3909-F295-48BA-8140-E90355DA195A}"/>
    <cellStyle name="Normal 5 4 3 2 7" xfId="4834" xr:uid="{00000000-0005-0000-0000-0000121B0000}"/>
    <cellStyle name="Normal 5 4 3 2 7 2" xfId="13284" xr:uid="{56842411-03FF-4C31-8BA6-0837536389B2}"/>
    <cellStyle name="Normal 5 4 3 2 7 3" xfId="21731" xr:uid="{3D3E50BF-1302-43D3-912B-4D0E5852C4CD}"/>
    <cellStyle name="Normal 5 4 3 2 8" xfId="9066" xr:uid="{C0D0741C-FD62-445B-A17B-C2DA654BBCE1}"/>
    <cellStyle name="Normal 5 4 3 2 9" xfId="17514" xr:uid="{EBCF6E77-D04C-47A5-AD03-F3BA344E3312}"/>
    <cellStyle name="Normal 5 4 3 3" xfId="935" xr:uid="{00000000-0005-0000-0000-0000131B0000}"/>
    <cellStyle name="Normal 5 4 3 3 2" xfId="3169" xr:uid="{00000000-0005-0000-0000-0000141B0000}"/>
    <cellStyle name="Normal 5 4 3 3 2 2" xfId="7391" xr:uid="{00000000-0005-0000-0000-0000151B0000}"/>
    <cellStyle name="Normal 5 4 3 3 2 2 2" xfId="15841" xr:uid="{3706D22B-D50E-4DA9-91A4-E78138ADC68E}"/>
    <cellStyle name="Normal 5 4 3 3 2 2 3" xfId="24288" xr:uid="{0BFC8C83-43BE-44D2-80C2-EBB859C4D266}"/>
    <cellStyle name="Normal 5 4 3 3 2 3" xfId="11623" xr:uid="{67F6C850-2607-4085-90AD-1AEFDFAC7A2A}"/>
    <cellStyle name="Normal 5 4 3 3 2 4" xfId="20071" xr:uid="{88A9DDB8-6AD8-4600-90C8-CEDE11FA8826}"/>
    <cellStyle name="Normal 5 4 3 3 3" xfId="5246" xr:uid="{00000000-0005-0000-0000-0000161B0000}"/>
    <cellStyle name="Normal 5 4 3 3 3 2" xfId="13696" xr:uid="{FBBFD418-CC46-4298-AB05-F5F39DA997BF}"/>
    <cellStyle name="Normal 5 4 3 3 3 3" xfId="22143" xr:uid="{5372BC0E-6F54-49A0-A00A-0B3C1114FF0D}"/>
    <cellStyle name="Normal 5 4 3 3 4" xfId="9478" xr:uid="{7CE85087-C204-46E2-BC7C-4BD1ED0DDECB}"/>
    <cellStyle name="Normal 5 4 3 3 5" xfId="17926" xr:uid="{146738E0-B2F8-4DF1-92C4-E26C4E53CDFC}"/>
    <cellStyle name="Normal 5 4 3 4" xfId="1352" xr:uid="{00000000-0005-0000-0000-0000171B0000}"/>
    <cellStyle name="Normal 5 4 3 4 2" xfId="3582" xr:uid="{00000000-0005-0000-0000-0000181B0000}"/>
    <cellStyle name="Normal 5 4 3 4 2 2" xfId="7804" xr:uid="{00000000-0005-0000-0000-0000191B0000}"/>
    <cellStyle name="Normal 5 4 3 4 2 2 2" xfId="16254" xr:uid="{AF18D925-F961-4B8F-BDBE-FACE98E8343F}"/>
    <cellStyle name="Normal 5 4 3 4 2 2 3" xfId="24701" xr:uid="{AFB256E2-69C2-4B62-94E5-092C6A9B997F}"/>
    <cellStyle name="Normal 5 4 3 4 2 3" xfId="12036" xr:uid="{0DE90737-41B6-434A-A7B6-6C0E45388D64}"/>
    <cellStyle name="Normal 5 4 3 4 2 4" xfId="20484" xr:uid="{78EF1706-9933-4511-86B8-FC82A16E096B}"/>
    <cellStyle name="Normal 5 4 3 4 3" xfId="5659" xr:uid="{00000000-0005-0000-0000-00001A1B0000}"/>
    <cellStyle name="Normal 5 4 3 4 3 2" xfId="14109" xr:uid="{1F44E66B-9B3E-4779-8D84-D6C6FDCB89EF}"/>
    <cellStyle name="Normal 5 4 3 4 3 3" xfId="22556" xr:uid="{E63FCC41-1608-4C66-B5A7-CBCBB3B8BC8F}"/>
    <cellStyle name="Normal 5 4 3 4 4" xfId="9891" xr:uid="{02E3A061-BE47-4FE4-AD69-F65E67EB69A2}"/>
    <cellStyle name="Normal 5 4 3 4 5" xfId="18339" xr:uid="{16BDB21F-2249-4BC4-A94E-AE41EEA58469}"/>
    <cellStyle name="Normal 5 4 3 5" xfId="1765" xr:uid="{00000000-0005-0000-0000-00001B1B0000}"/>
    <cellStyle name="Normal 5 4 3 5 2" xfId="3995" xr:uid="{00000000-0005-0000-0000-00001C1B0000}"/>
    <cellStyle name="Normal 5 4 3 5 2 2" xfId="8217" xr:uid="{00000000-0005-0000-0000-00001D1B0000}"/>
    <cellStyle name="Normal 5 4 3 5 2 2 2" xfId="16667" xr:uid="{6CBEED38-E319-4DD4-B251-0629345A7DB2}"/>
    <cellStyle name="Normal 5 4 3 5 2 2 3" xfId="25114" xr:uid="{42035748-8BE6-4D2F-BFDC-137C4C7CF761}"/>
    <cellStyle name="Normal 5 4 3 5 2 3" xfId="12449" xr:uid="{FC731B53-E3CD-4719-A699-5FA851B130FC}"/>
    <cellStyle name="Normal 5 4 3 5 2 4" xfId="20897" xr:uid="{F43EEC2F-96F1-49A5-811E-B6F818DDBEFA}"/>
    <cellStyle name="Normal 5 4 3 5 3" xfId="6072" xr:uid="{00000000-0005-0000-0000-00001E1B0000}"/>
    <cellStyle name="Normal 5 4 3 5 3 2" xfId="14522" xr:uid="{4AAB629E-32B8-4567-BBEC-DA6FE66DA31A}"/>
    <cellStyle name="Normal 5 4 3 5 3 3" xfId="22969" xr:uid="{6ABC0E01-9282-4AD2-A0FA-655D5C1C2975}"/>
    <cellStyle name="Normal 5 4 3 5 4" xfId="10304" xr:uid="{2CCB2F1E-FA6D-409C-AFB1-13D00EBE3266}"/>
    <cellStyle name="Normal 5 4 3 5 5" xfId="18752" xr:uid="{089F95AF-5D24-4A40-AED5-95EFC2A0CDEB}"/>
    <cellStyle name="Normal 5 4 3 6" xfId="2179" xr:uid="{00000000-0005-0000-0000-00001F1B0000}"/>
    <cellStyle name="Normal 5 4 3 6 2" xfId="4408" xr:uid="{00000000-0005-0000-0000-0000201B0000}"/>
    <cellStyle name="Normal 5 4 3 6 2 2" xfId="8630" xr:uid="{00000000-0005-0000-0000-0000211B0000}"/>
    <cellStyle name="Normal 5 4 3 6 2 2 2" xfId="17080" xr:uid="{7633A2B3-C52A-404A-909E-6D5C79942817}"/>
    <cellStyle name="Normal 5 4 3 6 2 2 3" xfId="25527" xr:uid="{F09866F6-95E6-4D5A-857E-D155D109818B}"/>
    <cellStyle name="Normal 5 4 3 6 2 3" xfId="12862" xr:uid="{FC3CDB98-E20B-47FA-87DD-EC795023E142}"/>
    <cellStyle name="Normal 5 4 3 6 2 4" xfId="21310" xr:uid="{EB7BE8FE-B293-4BC7-A9DF-7B0FC52874AD}"/>
    <cellStyle name="Normal 5 4 3 6 3" xfId="6485" xr:uid="{00000000-0005-0000-0000-0000221B0000}"/>
    <cellStyle name="Normal 5 4 3 6 3 2" xfId="14935" xr:uid="{5D4367A6-5421-41E5-9766-BC13C30F8AC0}"/>
    <cellStyle name="Normal 5 4 3 6 3 3" xfId="23382" xr:uid="{A6030FA8-7BE3-4888-8970-1190E91284FA}"/>
    <cellStyle name="Normal 5 4 3 6 4" xfId="10717" xr:uid="{A7A2DC4D-38A9-4E79-A90F-77ABD028D987}"/>
    <cellStyle name="Normal 5 4 3 6 5" xfId="19165" xr:uid="{C03F4AED-1D06-4DB1-82BB-A3176CDF1D31}"/>
    <cellStyle name="Normal 5 4 3 7" xfId="2615" xr:uid="{00000000-0005-0000-0000-0000231B0000}"/>
    <cellStyle name="Normal 5 4 3 7 2" xfId="6898" xr:uid="{00000000-0005-0000-0000-0000241B0000}"/>
    <cellStyle name="Normal 5 4 3 7 2 2" xfId="15348" xr:uid="{47A51FC0-965B-4F2A-AC94-F33087FB79AC}"/>
    <cellStyle name="Normal 5 4 3 7 2 3" xfId="23795" xr:uid="{42C05023-E12A-42A9-837F-9A9F1D406742}"/>
    <cellStyle name="Normal 5 4 3 7 3" xfId="11130" xr:uid="{F55386EA-BF75-404C-AD42-4063E3964826}"/>
    <cellStyle name="Normal 5 4 3 7 4" xfId="19578" xr:uid="{243B414C-47D9-4A41-9373-DB29FA0971C9}"/>
    <cellStyle name="Normal 5 4 3 8" xfId="4833" xr:uid="{00000000-0005-0000-0000-0000251B0000}"/>
    <cellStyle name="Normal 5 4 3 8 2" xfId="13283" xr:uid="{066FEF4E-EC44-44EF-B5BD-0E3E4212B939}"/>
    <cellStyle name="Normal 5 4 3 8 3" xfId="21730" xr:uid="{3F688F50-3973-413F-A33B-F94E0004BA07}"/>
    <cellStyle name="Normal 5 4 3 9" xfId="9065" xr:uid="{5A67A413-3B67-4FDA-9008-6ED01E563E1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2 2 2" xfId="15843" xr:uid="{65F9C9FA-92DF-4046-84C1-038A8DB4F702}"/>
    <cellStyle name="Normal 5 4 4 2 2 2 3" xfId="24290" xr:uid="{68C72270-2B0A-4B13-9B2E-4B868DDD3AFD}"/>
    <cellStyle name="Normal 5 4 4 2 2 3" xfId="11625" xr:uid="{9650C04D-EB9F-4DB4-88D4-D330959B70DA}"/>
    <cellStyle name="Normal 5 4 4 2 2 4" xfId="20073" xr:uid="{A308DD53-09E4-4C46-9A40-CA7781A46A44}"/>
    <cellStyle name="Normal 5 4 4 2 3" xfId="5248" xr:uid="{00000000-0005-0000-0000-00002A1B0000}"/>
    <cellStyle name="Normal 5 4 4 2 3 2" xfId="13698" xr:uid="{E6918318-B648-44BD-97E9-56A6402A9E2A}"/>
    <cellStyle name="Normal 5 4 4 2 3 3" xfId="22145" xr:uid="{EABD6B77-08FA-45F5-A674-4EC7FE276438}"/>
    <cellStyle name="Normal 5 4 4 2 4" xfId="9480" xr:uid="{829263EB-6C5C-41B0-91D0-36A5DCFEC9F0}"/>
    <cellStyle name="Normal 5 4 4 2 5" xfId="17928" xr:uid="{3C460677-112B-4C31-BAB6-7B738ADBF87D}"/>
    <cellStyle name="Normal 5 4 4 3" xfId="1354" xr:uid="{00000000-0005-0000-0000-00002B1B0000}"/>
    <cellStyle name="Normal 5 4 4 3 2" xfId="3584" xr:uid="{00000000-0005-0000-0000-00002C1B0000}"/>
    <cellStyle name="Normal 5 4 4 3 2 2" xfId="7806" xr:uid="{00000000-0005-0000-0000-00002D1B0000}"/>
    <cellStyle name="Normal 5 4 4 3 2 2 2" xfId="16256" xr:uid="{8FC897D1-670B-4D35-AC6F-3B098E01C6C2}"/>
    <cellStyle name="Normal 5 4 4 3 2 2 3" xfId="24703" xr:uid="{FCE8633C-3250-4DF1-A3E4-44715E73D14C}"/>
    <cellStyle name="Normal 5 4 4 3 2 3" xfId="12038" xr:uid="{595BC7F1-B1D7-42CE-954A-55BCBFC2C9BC}"/>
    <cellStyle name="Normal 5 4 4 3 2 4" xfId="20486" xr:uid="{54B52195-A10B-4CC7-8E47-E463C864CFC4}"/>
    <cellStyle name="Normal 5 4 4 3 3" xfId="5661" xr:uid="{00000000-0005-0000-0000-00002E1B0000}"/>
    <cellStyle name="Normal 5 4 4 3 3 2" xfId="14111" xr:uid="{D830501A-A118-45FA-AAF7-7ED5409D18F8}"/>
    <cellStyle name="Normal 5 4 4 3 3 3" xfId="22558" xr:uid="{EA84CCFE-6C09-4A02-A826-89B790860539}"/>
    <cellStyle name="Normal 5 4 4 3 4" xfId="9893" xr:uid="{84AD4338-D317-4219-9870-96538CD429F8}"/>
    <cellStyle name="Normal 5 4 4 3 5" xfId="18341" xr:uid="{78BCAE57-9828-4F68-A14C-FCD353B76F47}"/>
    <cellStyle name="Normal 5 4 4 4" xfId="1767" xr:uid="{00000000-0005-0000-0000-00002F1B0000}"/>
    <cellStyle name="Normal 5 4 4 4 2" xfId="3997" xr:uid="{00000000-0005-0000-0000-0000301B0000}"/>
    <cellStyle name="Normal 5 4 4 4 2 2" xfId="8219" xr:uid="{00000000-0005-0000-0000-0000311B0000}"/>
    <cellStyle name="Normal 5 4 4 4 2 2 2" xfId="16669" xr:uid="{88F4B46F-05A0-42CB-A84E-A1AB3184D808}"/>
    <cellStyle name="Normal 5 4 4 4 2 2 3" xfId="25116" xr:uid="{47FA8529-01CD-419C-BDCE-AD1777C8DFB1}"/>
    <cellStyle name="Normal 5 4 4 4 2 3" xfId="12451" xr:uid="{312B05F5-38FB-4A67-896B-1504627FB794}"/>
    <cellStyle name="Normal 5 4 4 4 2 4" xfId="20899" xr:uid="{F5E27761-7585-472D-8C6C-C07FF5ACF594}"/>
    <cellStyle name="Normal 5 4 4 4 3" xfId="6074" xr:uid="{00000000-0005-0000-0000-0000321B0000}"/>
    <cellStyle name="Normal 5 4 4 4 3 2" xfId="14524" xr:uid="{68F03887-E17C-4542-90BF-2033E3C40CC6}"/>
    <cellStyle name="Normal 5 4 4 4 3 3" xfId="22971" xr:uid="{B048C117-B597-46DD-B418-D87DE24B1C7A}"/>
    <cellStyle name="Normal 5 4 4 4 4" xfId="10306" xr:uid="{D9A3F967-5935-45CE-A906-8B5F7E288B95}"/>
    <cellStyle name="Normal 5 4 4 4 5" xfId="18754" xr:uid="{F4A27D80-2BD5-422D-A809-AD755349905A}"/>
    <cellStyle name="Normal 5 4 4 5" xfId="2181" xr:uid="{00000000-0005-0000-0000-0000331B0000}"/>
    <cellStyle name="Normal 5 4 4 5 2" xfId="4410" xr:uid="{00000000-0005-0000-0000-0000341B0000}"/>
    <cellStyle name="Normal 5 4 4 5 2 2" xfId="8632" xr:uid="{00000000-0005-0000-0000-0000351B0000}"/>
    <cellStyle name="Normal 5 4 4 5 2 2 2" xfId="17082" xr:uid="{BDEAB714-8D3B-44A2-8B79-66140969435A}"/>
    <cellStyle name="Normal 5 4 4 5 2 2 3" xfId="25529" xr:uid="{1D5B8224-8537-4691-BBEF-BCDE9949BA84}"/>
    <cellStyle name="Normal 5 4 4 5 2 3" xfId="12864" xr:uid="{271C3B2A-F342-4029-A2BF-960E79C899CA}"/>
    <cellStyle name="Normal 5 4 4 5 2 4" xfId="21312" xr:uid="{AAD65FCF-BF1D-4339-B196-00A7C0F00C35}"/>
    <cellStyle name="Normal 5 4 4 5 3" xfId="6487" xr:uid="{00000000-0005-0000-0000-0000361B0000}"/>
    <cellStyle name="Normal 5 4 4 5 3 2" xfId="14937" xr:uid="{F6FB44C2-8EA3-4962-A46E-D0C4EEC4ECDC}"/>
    <cellStyle name="Normal 5 4 4 5 3 3" xfId="23384" xr:uid="{A5EFD449-0014-4282-8742-CC1E94DA98EF}"/>
    <cellStyle name="Normal 5 4 4 5 4" xfId="10719" xr:uid="{B901ABEF-6722-40EF-8FBD-761320F3C3A4}"/>
    <cellStyle name="Normal 5 4 4 5 5" xfId="19167" xr:uid="{E796EE98-FCC4-4874-8FF2-50C617A4578A}"/>
    <cellStyle name="Normal 5 4 4 6" xfId="2617" xr:uid="{00000000-0005-0000-0000-0000371B0000}"/>
    <cellStyle name="Normal 5 4 4 6 2" xfId="6900" xr:uid="{00000000-0005-0000-0000-0000381B0000}"/>
    <cellStyle name="Normal 5 4 4 6 2 2" xfId="15350" xr:uid="{94021F18-A171-44F6-A98C-E313448ADE05}"/>
    <cellStyle name="Normal 5 4 4 6 2 3" xfId="23797" xr:uid="{D0748D53-FA91-479A-B9D1-C1EBB177E7D7}"/>
    <cellStyle name="Normal 5 4 4 6 3" xfId="11132" xr:uid="{02848518-E300-4399-AF4E-FBEEE624E229}"/>
    <cellStyle name="Normal 5 4 4 6 4" xfId="19580" xr:uid="{D05EDF07-E807-4442-8884-E9B644815A9B}"/>
    <cellStyle name="Normal 5 4 4 7" xfId="4835" xr:uid="{00000000-0005-0000-0000-0000391B0000}"/>
    <cellStyle name="Normal 5 4 4 7 2" xfId="13285" xr:uid="{EED55F1A-1170-48A5-9221-D1D674C71FD7}"/>
    <cellStyle name="Normal 5 4 4 7 3" xfId="21732" xr:uid="{14F59371-C231-4DB8-8CB5-7E8E231C1861}"/>
    <cellStyle name="Normal 5 4 4 8" xfId="9067" xr:uid="{07AFEFC5-803E-499B-9C89-7BB1FB8D4FE3}"/>
    <cellStyle name="Normal 5 4 4 9" xfId="17515" xr:uid="{67E2CBC0-FB35-4582-BEB6-7A872E9F3317}"/>
    <cellStyle name="Normal 5 4 5" xfId="930" xr:uid="{00000000-0005-0000-0000-00003A1B0000}"/>
    <cellStyle name="Normal 5 4 5 2" xfId="3164" xr:uid="{00000000-0005-0000-0000-00003B1B0000}"/>
    <cellStyle name="Normal 5 4 5 2 2" xfId="7386" xr:uid="{00000000-0005-0000-0000-00003C1B0000}"/>
    <cellStyle name="Normal 5 4 5 2 2 2" xfId="15836" xr:uid="{4A1D96B4-D04B-4B95-BA7F-0A9F25DC4AE0}"/>
    <cellStyle name="Normal 5 4 5 2 2 3" xfId="24283" xr:uid="{5A8EDE0D-C193-4151-94DD-902855DF2371}"/>
    <cellStyle name="Normal 5 4 5 2 3" xfId="11618" xr:uid="{7B7629DD-FC8A-487F-BA7E-61DA4CF8E827}"/>
    <cellStyle name="Normal 5 4 5 2 4" xfId="20066" xr:uid="{3D6B4A99-8E81-4345-8F1C-85B429888F09}"/>
    <cellStyle name="Normal 5 4 5 3" xfId="5241" xr:uid="{00000000-0005-0000-0000-00003D1B0000}"/>
    <cellStyle name="Normal 5 4 5 3 2" xfId="13691" xr:uid="{1367E5F0-2EE9-45BA-A503-699882CA9106}"/>
    <cellStyle name="Normal 5 4 5 3 3" xfId="22138" xr:uid="{98C23BCD-7ED8-4660-959A-C3EBCA879F22}"/>
    <cellStyle name="Normal 5 4 5 4" xfId="9473" xr:uid="{82B6AD61-9D88-4A84-B984-BB12B28BFB33}"/>
    <cellStyle name="Normal 5 4 5 5" xfId="17921" xr:uid="{4324A207-F6F6-4E99-94E0-006001F3726D}"/>
    <cellStyle name="Normal 5 4 6" xfId="1347" xr:uid="{00000000-0005-0000-0000-00003E1B0000}"/>
    <cellStyle name="Normal 5 4 6 2" xfId="3577" xr:uid="{00000000-0005-0000-0000-00003F1B0000}"/>
    <cellStyle name="Normal 5 4 6 2 2" xfId="7799" xr:uid="{00000000-0005-0000-0000-0000401B0000}"/>
    <cellStyle name="Normal 5 4 6 2 2 2" xfId="16249" xr:uid="{5E429938-EDD4-4B3A-9ED4-0A2E93B31C95}"/>
    <cellStyle name="Normal 5 4 6 2 2 3" xfId="24696" xr:uid="{EA22CEA6-032C-4C2E-8428-3EF8D847ACD3}"/>
    <cellStyle name="Normal 5 4 6 2 3" xfId="12031" xr:uid="{6E2C4D8B-FF88-4F66-BB5B-D151D6BB3277}"/>
    <cellStyle name="Normal 5 4 6 2 4" xfId="20479" xr:uid="{26AD3CC6-B9D7-44AE-8B88-9A37E893C596}"/>
    <cellStyle name="Normal 5 4 6 3" xfId="5654" xr:uid="{00000000-0005-0000-0000-0000411B0000}"/>
    <cellStyle name="Normal 5 4 6 3 2" xfId="14104" xr:uid="{EEC7FFDF-DD60-4E3A-B4D1-FC72A9F98165}"/>
    <cellStyle name="Normal 5 4 6 3 3" xfId="22551" xr:uid="{2D356A8B-4194-43BB-ADA9-8DCC22C0D93F}"/>
    <cellStyle name="Normal 5 4 6 4" xfId="9886" xr:uid="{017C65B2-B806-4A38-98ED-465A34EB06DD}"/>
    <cellStyle name="Normal 5 4 6 5" xfId="18334" xr:uid="{7B1F3C97-49BD-4824-8510-7367FC3E46B9}"/>
    <cellStyle name="Normal 5 4 7" xfId="1760" xr:uid="{00000000-0005-0000-0000-0000421B0000}"/>
    <cellStyle name="Normal 5 4 7 2" xfId="3990" xr:uid="{00000000-0005-0000-0000-0000431B0000}"/>
    <cellStyle name="Normal 5 4 7 2 2" xfId="8212" xr:uid="{00000000-0005-0000-0000-0000441B0000}"/>
    <cellStyle name="Normal 5 4 7 2 2 2" xfId="16662" xr:uid="{9EC7E762-43E0-408E-A98F-E0620DAABBDD}"/>
    <cellStyle name="Normal 5 4 7 2 2 3" xfId="25109" xr:uid="{51356B6F-BD1A-40BA-9202-8A1E49B2AB9E}"/>
    <cellStyle name="Normal 5 4 7 2 3" xfId="12444" xr:uid="{B4795D26-297A-45FA-B9DC-6B3DE69C4659}"/>
    <cellStyle name="Normal 5 4 7 2 4" xfId="20892" xr:uid="{4FF12470-2CAE-4D29-A62A-9295BAD1AD4D}"/>
    <cellStyle name="Normal 5 4 7 3" xfId="6067" xr:uid="{00000000-0005-0000-0000-0000451B0000}"/>
    <cellStyle name="Normal 5 4 7 3 2" xfId="14517" xr:uid="{C8EE5A3B-91C2-4379-90CF-E9412DDF5E64}"/>
    <cellStyle name="Normal 5 4 7 3 3" xfId="22964" xr:uid="{EEA62975-004D-40B9-A54F-17CD354CF4E8}"/>
    <cellStyle name="Normal 5 4 7 4" xfId="10299" xr:uid="{D7E0799B-479A-45DE-888B-7E4C59815D4B}"/>
    <cellStyle name="Normal 5 4 7 5" xfId="18747" xr:uid="{AFBB7753-8B86-431C-BD35-AEA9DE83F2AB}"/>
    <cellStyle name="Normal 5 4 8" xfId="2174" xr:uid="{00000000-0005-0000-0000-0000461B0000}"/>
    <cellStyle name="Normal 5 4 8 2" xfId="4403" xr:uid="{00000000-0005-0000-0000-0000471B0000}"/>
    <cellStyle name="Normal 5 4 8 2 2" xfId="8625" xr:uid="{00000000-0005-0000-0000-0000481B0000}"/>
    <cellStyle name="Normal 5 4 8 2 2 2" xfId="17075" xr:uid="{8C2558D0-E6BC-4219-8783-FE40C5E90023}"/>
    <cellStyle name="Normal 5 4 8 2 2 3" xfId="25522" xr:uid="{08D956D0-FA94-4403-B9A5-184760E59529}"/>
    <cellStyle name="Normal 5 4 8 2 3" xfId="12857" xr:uid="{DBDC33C8-6885-40DC-B7C1-34A2F96A1583}"/>
    <cellStyle name="Normal 5 4 8 2 4" xfId="21305" xr:uid="{7350CD37-9B3F-414E-BF1C-40B58A0A0CD2}"/>
    <cellStyle name="Normal 5 4 8 3" xfId="6480" xr:uid="{00000000-0005-0000-0000-0000491B0000}"/>
    <cellStyle name="Normal 5 4 8 3 2" xfId="14930" xr:uid="{CF3C4047-F04E-407E-9879-6A76942DC75B}"/>
    <cellStyle name="Normal 5 4 8 3 3" xfId="23377" xr:uid="{A8E307E1-D9C0-4E3B-8BAB-DB37A89A79D5}"/>
    <cellStyle name="Normal 5 4 8 4" xfId="10712" xr:uid="{799704D2-81F7-4470-B2D9-7C676A8E4F57}"/>
    <cellStyle name="Normal 5 4 8 5" xfId="19160" xr:uid="{2A0A6FAE-9E93-4A5B-8139-C92BB815C3E5}"/>
    <cellStyle name="Normal 5 4 9" xfId="2610" xr:uid="{00000000-0005-0000-0000-00004A1B0000}"/>
    <cellStyle name="Normal 5 4 9 2" xfId="6893" xr:uid="{00000000-0005-0000-0000-00004B1B0000}"/>
    <cellStyle name="Normal 5 4 9 2 2" xfId="15343" xr:uid="{182DAF28-3A19-43D4-B6CB-F58C2E9C600A}"/>
    <cellStyle name="Normal 5 4 9 2 3" xfId="23790" xr:uid="{2333E26A-1462-42D4-932D-7902AA001F2B}"/>
    <cellStyle name="Normal 5 4 9 3" xfId="11125" xr:uid="{8F100830-507C-4176-ABEC-5ECFE9CDF818}"/>
    <cellStyle name="Normal 5 4 9 4" xfId="19573" xr:uid="{DC075EF3-AE96-4393-BB3A-506EEF9FF128}"/>
    <cellStyle name="Normal 5 5" xfId="464" xr:uid="{00000000-0005-0000-0000-00004C1B0000}"/>
    <cellStyle name="Normal 5 5 10" xfId="9068" xr:uid="{D0FA5FF0-7C73-4C8A-B03E-2A452E67EDD7}"/>
    <cellStyle name="Normal 5 5 11" xfId="17516" xr:uid="{E1315341-C4F7-488C-B7FD-69936F77FBFD}"/>
    <cellStyle name="Normal 5 5 2" xfId="465" xr:uid="{00000000-0005-0000-0000-00004D1B0000}"/>
    <cellStyle name="Normal 5 5 2 10" xfId="17517" xr:uid="{D7AE999B-6340-44AA-A6DF-8AA93633A0F9}"/>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2 2 2" xfId="15846" xr:uid="{139DB22E-9054-4ADD-BDFA-8755ABD846F9}"/>
    <cellStyle name="Normal 5 5 2 2 2 2 2 3" xfId="24293" xr:uid="{D0BE253A-D70A-4073-95DB-55D3F2D58E7A}"/>
    <cellStyle name="Normal 5 5 2 2 2 2 3" xfId="11628" xr:uid="{0165F93C-7057-4177-AAD8-D1CCACD8F13D}"/>
    <cellStyle name="Normal 5 5 2 2 2 2 4" xfId="20076" xr:uid="{82DE327D-15BD-4165-B5B8-ABDF249A1E12}"/>
    <cellStyle name="Normal 5 5 2 2 2 3" xfId="5251" xr:uid="{00000000-0005-0000-0000-0000521B0000}"/>
    <cellStyle name="Normal 5 5 2 2 2 3 2" xfId="13701" xr:uid="{3631501F-F3F3-4050-A71E-FEE6DB7FED24}"/>
    <cellStyle name="Normal 5 5 2 2 2 3 3" xfId="22148" xr:uid="{A0ED17A4-72CA-47C6-990F-F7CF7219A557}"/>
    <cellStyle name="Normal 5 5 2 2 2 4" xfId="9483" xr:uid="{023C739E-884A-4486-90AA-3CBDBF2D1261}"/>
    <cellStyle name="Normal 5 5 2 2 2 5" xfId="17931" xr:uid="{6AB53A79-8A6F-461B-B683-DC5E08FA52BA}"/>
    <cellStyle name="Normal 5 5 2 2 3" xfId="1357" xr:uid="{00000000-0005-0000-0000-0000531B0000}"/>
    <cellStyle name="Normal 5 5 2 2 3 2" xfId="3587" xr:uid="{00000000-0005-0000-0000-0000541B0000}"/>
    <cellStyle name="Normal 5 5 2 2 3 2 2" xfId="7809" xr:uid="{00000000-0005-0000-0000-0000551B0000}"/>
    <cellStyle name="Normal 5 5 2 2 3 2 2 2" xfId="16259" xr:uid="{DA0302BB-088C-4CEC-8C18-790E8B44C555}"/>
    <cellStyle name="Normal 5 5 2 2 3 2 2 3" xfId="24706" xr:uid="{E3F2BEC9-9A31-406B-8D77-BAC3AB6B8068}"/>
    <cellStyle name="Normal 5 5 2 2 3 2 3" xfId="12041" xr:uid="{7122718B-7638-47AD-9EE7-2864E36F62CE}"/>
    <cellStyle name="Normal 5 5 2 2 3 2 4" xfId="20489" xr:uid="{B93DFFA4-DF65-420E-A893-1480F0BAD5F2}"/>
    <cellStyle name="Normal 5 5 2 2 3 3" xfId="5664" xr:uid="{00000000-0005-0000-0000-0000561B0000}"/>
    <cellStyle name="Normal 5 5 2 2 3 3 2" xfId="14114" xr:uid="{CD5BBCC5-133B-453E-B59D-5F92FE819161}"/>
    <cellStyle name="Normal 5 5 2 2 3 3 3" xfId="22561" xr:uid="{4C88775F-3D51-444B-86EE-5432B3AC7AD7}"/>
    <cellStyle name="Normal 5 5 2 2 3 4" xfId="9896" xr:uid="{BD30D508-7EC6-40CD-9BEA-BD0FCAE9FB46}"/>
    <cellStyle name="Normal 5 5 2 2 3 5" xfId="18344" xr:uid="{C584A226-9D5F-4D36-8913-B9E565F21EE8}"/>
    <cellStyle name="Normal 5 5 2 2 4" xfId="1770" xr:uid="{00000000-0005-0000-0000-0000571B0000}"/>
    <cellStyle name="Normal 5 5 2 2 4 2" xfId="4000" xr:uid="{00000000-0005-0000-0000-0000581B0000}"/>
    <cellStyle name="Normal 5 5 2 2 4 2 2" xfId="8222" xr:uid="{00000000-0005-0000-0000-0000591B0000}"/>
    <cellStyle name="Normal 5 5 2 2 4 2 2 2" xfId="16672" xr:uid="{288A6A5B-B138-4B57-8DFD-854748C1D12B}"/>
    <cellStyle name="Normal 5 5 2 2 4 2 2 3" xfId="25119" xr:uid="{7686DE59-3DD0-4DB4-BB22-DDBDB2C1A73C}"/>
    <cellStyle name="Normal 5 5 2 2 4 2 3" xfId="12454" xr:uid="{D3269F54-CE0C-49C6-9C7A-6F36D0DA7534}"/>
    <cellStyle name="Normal 5 5 2 2 4 2 4" xfId="20902" xr:uid="{43092181-D471-4E46-9592-CCCC386A2141}"/>
    <cellStyle name="Normal 5 5 2 2 4 3" xfId="6077" xr:uid="{00000000-0005-0000-0000-00005A1B0000}"/>
    <cellStyle name="Normal 5 5 2 2 4 3 2" xfId="14527" xr:uid="{C501A3EC-D9BF-44E3-B48C-823F03469ED5}"/>
    <cellStyle name="Normal 5 5 2 2 4 3 3" xfId="22974" xr:uid="{8B5A9160-FFB9-4360-8111-F24EE10F1873}"/>
    <cellStyle name="Normal 5 5 2 2 4 4" xfId="10309" xr:uid="{B6675956-F983-4FA0-ABCC-7DF62FA05C4F}"/>
    <cellStyle name="Normal 5 5 2 2 4 5" xfId="18757" xr:uid="{C7B7E13C-B848-4F50-B43A-A9BB86DA3B25}"/>
    <cellStyle name="Normal 5 5 2 2 5" xfId="2184" xr:uid="{00000000-0005-0000-0000-00005B1B0000}"/>
    <cellStyle name="Normal 5 5 2 2 5 2" xfId="4413" xr:uid="{00000000-0005-0000-0000-00005C1B0000}"/>
    <cellStyle name="Normal 5 5 2 2 5 2 2" xfId="8635" xr:uid="{00000000-0005-0000-0000-00005D1B0000}"/>
    <cellStyle name="Normal 5 5 2 2 5 2 2 2" xfId="17085" xr:uid="{6DA51438-75AE-4D9A-9D01-9419C8132693}"/>
    <cellStyle name="Normal 5 5 2 2 5 2 2 3" xfId="25532" xr:uid="{BF786079-6B70-4FF4-86AF-61BFB8B29FE6}"/>
    <cellStyle name="Normal 5 5 2 2 5 2 3" xfId="12867" xr:uid="{5500C904-9A69-4F27-9377-7FAE4CD8768B}"/>
    <cellStyle name="Normal 5 5 2 2 5 2 4" xfId="21315" xr:uid="{F75BBFE9-AC25-49CC-8731-23BC50A5E1D8}"/>
    <cellStyle name="Normal 5 5 2 2 5 3" xfId="6490" xr:uid="{00000000-0005-0000-0000-00005E1B0000}"/>
    <cellStyle name="Normal 5 5 2 2 5 3 2" xfId="14940" xr:uid="{A871FAC0-4120-4D10-8914-2FEE00F961C4}"/>
    <cellStyle name="Normal 5 5 2 2 5 3 3" xfId="23387" xr:uid="{17106BA9-C6D8-43A0-A49E-958CDEC7F92B}"/>
    <cellStyle name="Normal 5 5 2 2 5 4" xfId="10722" xr:uid="{485ECC21-9A92-4BD4-BA52-64C23CBB3AAA}"/>
    <cellStyle name="Normal 5 5 2 2 5 5" xfId="19170" xr:uid="{30008A18-5DA0-485C-8992-C403CB067C38}"/>
    <cellStyle name="Normal 5 5 2 2 6" xfId="2620" xr:uid="{00000000-0005-0000-0000-00005F1B0000}"/>
    <cellStyle name="Normal 5 5 2 2 6 2" xfId="6903" xr:uid="{00000000-0005-0000-0000-0000601B0000}"/>
    <cellStyle name="Normal 5 5 2 2 6 2 2" xfId="15353" xr:uid="{29E56D9C-A774-4253-B0FF-07637E9CD042}"/>
    <cellStyle name="Normal 5 5 2 2 6 2 3" xfId="23800" xr:uid="{81E8221E-E115-44B1-A407-15755BB8FC47}"/>
    <cellStyle name="Normal 5 5 2 2 6 3" xfId="11135" xr:uid="{5C0C2648-AD6F-42DC-8EA2-8CBE7AC88DA8}"/>
    <cellStyle name="Normal 5 5 2 2 6 4" xfId="19583" xr:uid="{08951AFC-9C6B-4E97-8F19-6EB4FFE0E570}"/>
    <cellStyle name="Normal 5 5 2 2 7" xfId="4838" xr:uid="{00000000-0005-0000-0000-0000611B0000}"/>
    <cellStyle name="Normal 5 5 2 2 7 2" xfId="13288" xr:uid="{A0C82B9C-E568-486E-BB8C-F4852595CEF6}"/>
    <cellStyle name="Normal 5 5 2 2 7 3" xfId="21735" xr:uid="{58D9DE1E-C21F-416D-BEB4-CA5144485A42}"/>
    <cellStyle name="Normal 5 5 2 2 8" xfId="9070" xr:uid="{C2DEA9A5-F7BA-4C93-A877-1ADD735FC0F8}"/>
    <cellStyle name="Normal 5 5 2 2 9" xfId="17518" xr:uid="{0B3A6890-08D2-4550-854A-B5E611A30E20}"/>
    <cellStyle name="Normal 5 5 2 3" xfId="939" xr:uid="{00000000-0005-0000-0000-0000621B0000}"/>
    <cellStyle name="Normal 5 5 2 3 2" xfId="3173" xr:uid="{00000000-0005-0000-0000-0000631B0000}"/>
    <cellStyle name="Normal 5 5 2 3 2 2" xfId="7395" xr:uid="{00000000-0005-0000-0000-0000641B0000}"/>
    <cellStyle name="Normal 5 5 2 3 2 2 2" xfId="15845" xr:uid="{2FD26FFF-5E1F-4D95-8B04-D44D66E3FEB7}"/>
    <cellStyle name="Normal 5 5 2 3 2 2 3" xfId="24292" xr:uid="{146F2479-1CF4-4528-A953-CD08EFDC670D}"/>
    <cellStyle name="Normal 5 5 2 3 2 3" xfId="11627" xr:uid="{F84AD99D-2D4D-48AA-B729-A49904620D15}"/>
    <cellStyle name="Normal 5 5 2 3 2 4" xfId="20075" xr:uid="{E8A6562B-7789-4F8A-864B-711417BD4969}"/>
    <cellStyle name="Normal 5 5 2 3 3" xfId="5250" xr:uid="{00000000-0005-0000-0000-0000651B0000}"/>
    <cellStyle name="Normal 5 5 2 3 3 2" xfId="13700" xr:uid="{1329E09A-B933-40E7-9FE0-1A2266F2F19C}"/>
    <cellStyle name="Normal 5 5 2 3 3 3" xfId="22147" xr:uid="{A931F9AD-908C-49AC-8C3A-726F844256A9}"/>
    <cellStyle name="Normal 5 5 2 3 4" xfId="9482" xr:uid="{B06CE7E7-A4FC-46AE-99BB-6BD46CDA45B1}"/>
    <cellStyle name="Normal 5 5 2 3 5" xfId="17930" xr:uid="{D2659710-B27E-4353-BCEF-D6977C8B4F83}"/>
    <cellStyle name="Normal 5 5 2 4" xfId="1356" xr:uid="{00000000-0005-0000-0000-0000661B0000}"/>
    <cellStyle name="Normal 5 5 2 4 2" xfId="3586" xr:uid="{00000000-0005-0000-0000-0000671B0000}"/>
    <cellStyle name="Normal 5 5 2 4 2 2" xfId="7808" xr:uid="{00000000-0005-0000-0000-0000681B0000}"/>
    <cellStyle name="Normal 5 5 2 4 2 2 2" xfId="16258" xr:uid="{E64A9040-9924-4996-8286-7F54B6B2051E}"/>
    <cellStyle name="Normal 5 5 2 4 2 2 3" xfId="24705" xr:uid="{82E09BBF-6279-4175-886C-3067E9175E72}"/>
    <cellStyle name="Normal 5 5 2 4 2 3" xfId="12040" xr:uid="{580BE66E-C0E0-4B27-8FDD-5ABAE275E5B1}"/>
    <cellStyle name="Normal 5 5 2 4 2 4" xfId="20488" xr:uid="{F3F3578D-C574-4CE3-8B98-9E71BD50C5F4}"/>
    <cellStyle name="Normal 5 5 2 4 3" xfId="5663" xr:uid="{00000000-0005-0000-0000-0000691B0000}"/>
    <cellStyle name="Normal 5 5 2 4 3 2" xfId="14113" xr:uid="{8CEC9793-498F-4673-B214-09E9B19873BA}"/>
    <cellStyle name="Normal 5 5 2 4 3 3" xfId="22560" xr:uid="{A7FC9C7B-883D-4903-85BF-EDE52B25DA70}"/>
    <cellStyle name="Normal 5 5 2 4 4" xfId="9895" xr:uid="{AAFCA763-2F6F-44EE-8DA7-8F851F1CF502}"/>
    <cellStyle name="Normal 5 5 2 4 5" xfId="18343" xr:uid="{D9E8526C-0A36-4EEC-A07A-AC6BEF280A31}"/>
    <cellStyle name="Normal 5 5 2 5" xfId="1769" xr:uid="{00000000-0005-0000-0000-00006A1B0000}"/>
    <cellStyle name="Normal 5 5 2 5 2" xfId="3999" xr:uid="{00000000-0005-0000-0000-00006B1B0000}"/>
    <cellStyle name="Normal 5 5 2 5 2 2" xfId="8221" xr:uid="{00000000-0005-0000-0000-00006C1B0000}"/>
    <cellStyle name="Normal 5 5 2 5 2 2 2" xfId="16671" xr:uid="{49E1B791-6DAC-47BD-95D1-CEB25AC81059}"/>
    <cellStyle name="Normal 5 5 2 5 2 2 3" xfId="25118" xr:uid="{7FBDCD2A-1BB9-4B06-8CAE-F54E87F9683E}"/>
    <cellStyle name="Normal 5 5 2 5 2 3" xfId="12453" xr:uid="{417593A9-F23F-41CC-BF01-BF7CAB3AF4C2}"/>
    <cellStyle name="Normal 5 5 2 5 2 4" xfId="20901" xr:uid="{2A8577A0-37EC-4251-8568-3A3006972A8B}"/>
    <cellStyle name="Normal 5 5 2 5 3" xfId="6076" xr:uid="{00000000-0005-0000-0000-00006D1B0000}"/>
    <cellStyle name="Normal 5 5 2 5 3 2" xfId="14526" xr:uid="{207D0D39-AB1D-4A26-88CF-FCBC230639CF}"/>
    <cellStyle name="Normal 5 5 2 5 3 3" xfId="22973" xr:uid="{519BD7C5-4781-4D4B-B3F5-F87612EA4F62}"/>
    <cellStyle name="Normal 5 5 2 5 4" xfId="10308" xr:uid="{D69CE282-8D7B-4094-8229-36D9DB1FC9F3}"/>
    <cellStyle name="Normal 5 5 2 5 5" xfId="18756" xr:uid="{67DC9959-06AF-4C49-B8DD-69EB4E525B9F}"/>
    <cellStyle name="Normal 5 5 2 6" xfId="2183" xr:uid="{00000000-0005-0000-0000-00006E1B0000}"/>
    <cellStyle name="Normal 5 5 2 6 2" xfId="4412" xr:uid="{00000000-0005-0000-0000-00006F1B0000}"/>
    <cellStyle name="Normal 5 5 2 6 2 2" xfId="8634" xr:uid="{00000000-0005-0000-0000-0000701B0000}"/>
    <cellStyle name="Normal 5 5 2 6 2 2 2" xfId="17084" xr:uid="{DABEE7FC-8B6B-4493-B6CD-4646048AE758}"/>
    <cellStyle name="Normal 5 5 2 6 2 2 3" xfId="25531" xr:uid="{7F952DC7-9C10-40D3-873F-A5C50604C729}"/>
    <cellStyle name="Normal 5 5 2 6 2 3" xfId="12866" xr:uid="{ED3E840B-DF37-4DA8-8878-DB48E5FC4D37}"/>
    <cellStyle name="Normal 5 5 2 6 2 4" xfId="21314" xr:uid="{7561B3CB-9C25-470B-BC41-7BE7F4DA6EC2}"/>
    <cellStyle name="Normal 5 5 2 6 3" xfId="6489" xr:uid="{00000000-0005-0000-0000-0000711B0000}"/>
    <cellStyle name="Normal 5 5 2 6 3 2" xfId="14939" xr:uid="{8FB4BC10-E0FE-49F6-8F69-FB06E7282E76}"/>
    <cellStyle name="Normal 5 5 2 6 3 3" xfId="23386" xr:uid="{E8C5E7D7-AA08-44F8-9C1B-D3C102BBC447}"/>
    <cellStyle name="Normal 5 5 2 6 4" xfId="10721" xr:uid="{067FFDC5-B64D-4BC6-9E1F-AD19EE117327}"/>
    <cellStyle name="Normal 5 5 2 6 5" xfId="19169" xr:uid="{3086C4ED-0EA0-4D2F-8D54-F1EF5DBFAC77}"/>
    <cellStyle name="Normal 5 5 2 7" xfId="2619" xr:uid="{00000000-0005-0000-0000-0000721B0000}"/>
    <cellStyle name="Normal 5 5 2 7 2" xfId="6902" xr:uid="{00000000-0005-0000-0000-0000731B0000}"/>
    <cellStyle name="Normal 5 5 2 7 2 2" xfId="15352" xr:uid="{D0714DED-9843-4A96-B2F2-2A5F628C62FF}"/>
    <cellStyle name="Normal 5 5 2 7 2 3" xfId="23799" xr:uid="{C256ED12-F65D-4399-A265-631B3F38430C}"/>
    <cellStyle name="Normal 5 5 2 7 3" xfId="11134" xr:uid="{1897E3B2-9BAF-4E46-86DA-C6A22768C4BF}"/>
    <cellStyle name="Normal 5 5 2 7 4" xfId="19582" xr:uid="{40C0DAB0-64BF-4B67-83B7-AB42D46E37AD}"/>
    <cellStyle name="Normal 5 5 2 8" xfId="4837" xr:uid="{00000000-0005-0000-0000-0000741B0000}"/>
    <cellStyle name="Normal 5 5 2 8 2" xfId="13287" xr:uid="{E1A5D45B-2C25-430F-A5BD-8383D686D929}"/>
    <cellStyle name="Normal 5 5 2 8 3" xfId="21734" xr:uid="{A544A6EB-4B24-4B94-AFF4-5304AEF1FE37}"/>
    <cellStyle name="Normal 5 5 2 9" xfId="9069" xr:uid="{0D570723-F569-48DE-A702-4A22CFF2A5B2}"/>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2 2 2" xfId="15847" xr:uid="{B5DBB40A-29F7-40AE-94CC-A947C99589FB}"/>
    <cellStyle name="Normal 5 5 3 2 2 2 3" xfId="24294" xr:uid="{DF9D8891-C1CB-4065-8BE6-D47A1FB746D4}"/>
    <cellStyle name="Normal 5 5 3 2 2 3" xfId="11629" xr:uid="{E2B852AB-40CC-4588-8832-A0826394F819}"/>
    <cellStyle name="Normal 5 5 3 2 2 4" xfId="20077" xr:uid="{4A00783A-5AB4-45DF-99D8-34B4FB4D78A7}"/>
    <cellStyle name="Normal 5 5 3 2 3" xfId="5252" xr:uid="{00000000-0005-0000-0000-0000791B0000}"/>
    <cellStyle name="Normal 5 5 3 2 3 2" xfId="13702" xr:uid="{AB089DBA-08E1-488F-BA3E-4DA9DD6455A7}"/>
    <cellStyle name="Normal 5 5 3 2 3 3" xfId="22149" xr:uid="{2486647E-9043-4F84-ACFB-6671CA6CA8CB}"/>
    <cellStyle name="Normal 5 5 3 2 4" xfId="9484" xr:uid="{6F84AF98-B94D-4C99-9584-37D4D9F31BCB}"/>
    <cellStyle name="Normal 5 5 3 2 5" xfId="17932" xr:uid="{29F2E786-8CAD-47FF-A2EB-C4FA6ECA93EF}"/>
    <cellStyle name="Normal 5 5 3 3" xfId="1358" xr:uid="{00000000-0005-0000-0000-00007A1B0000}"/>
    <cellStyle name="Normal 5 5 3 3 2" xfId="3588" xr:uid="{00000000-0005-0000-0000-00007B1B0000}"/>
    <cellStyle name="Normal 5 5 3 3 2 2" xfId="7810" xr:uid="{00000000-0005-0000-0000-00007C1B0000}"/>
    <cellStyle name="Normal 5 5 3 3 2 2 2" xfId="16260" xr:uid="{9ED863B1-95DA-4AE7-B36C-50C1A9C7373A}"/>
    <cellStyle name="Normal 5 5 3 3 2 2 3" xfId="24707" xr:uid="{22420555-5D8E-45E3-A8EA-8D3A14C68487}"/>
    <cellStyle name="Normal 5 5 3 3 2 3" xfId="12042" xr:uid="{CACCF2B9-BBF8-4D1A-9C47-63308FACEDD0}"/>
    <cellStyle name="Normal 5 5 3 3 2 4" xfId="20490" xr:uid="{0E5C50B4-0564-4DB1-9437-3F07184ECABE}"/>
    <cellStyle name="Normal 5 5 3 3 3" xfId="5665" xr:uid="{00000000-0005-0000-0000-00007D1B0000}"/>
    <cellStyle name="Normal 5 5 3 3 3 2" xfId="14115" xr:uid="{B97B1E4D-580F-4F40-9C77-0FB824601CFF}"/>
    <cellStyle name="Normal 5 5 3 3 3 3" xfId="22562" xr:uid="{227D4CA8-C320-4A44-AFE0-325E1C023774}"/>
    <cellStyle name="Normal 5 5 3 3 4" xfId="9897" xr:uid="{84A6C5C2-9795-4453-A74E-20A09CB03C1B}"/>
    <cellStyle name="Normal 5 5 3 3 5" xfId="18345" xr:uid="{9530861A-A183-4FFC-8A69-E5C63ACED740}"/>
    <cellStyle name="Normal 5 5 3 4" xfId="1771" xr:uid="{00000000-0005-0000-0000-00007E1B0000}"/>
    <cellStyle name="Normal 5 5 3 4 2" xfId="4001" xr:uid="{00000000-0005-0000-0000-00007F1B0000}"/>
    <cellStyle name="Normal 5 5 3 4 2 2" xfId="8223" xr:uid="{00000000-0005-0000-0000-0000801B0000}"/>
    <cellStyle name="Normal 5 5 3 4 2 2 2" xfId="16673" xr:uid="{25B8FC14-79AD-4F1C-A26C-68C6A8638820}"/>
    <cellStyle name="Normal 5 5 3 4 2 2 3" xfId="25120" xr:uid="{6D43866F-F5BC-44BC-B846-23F181F898A9}"/>
    <cellStyle name="Normal 5 5 3 4 2 3" xfId="12455" xr:uid="{DB8D8521-1F4A-4295-ADD2-74A88A16622A}"/>
    <cellStyle name="Normal 5 5 3 4 2 4" xfId="20903" xr:uid="{BD35E068-A1C8-4114-B803-706F9F41ED80}"/>
    <cellStyle name="Normal 5 5 3 4 3" xfId="6078" xr:uid="{00000000-0005-0000-0000-0000811B0000}"/>
    <cellStyle name="Normal 5 5 3 4 3 2" xfId="14528" xr:uid="{918053AB-60F7-4CC8-8E89-953A862107A3}"/>
    <cellStyle name="Normal 5 5 3 4 3 3" xfId="22975" xr:uid="{91928FED-4C31-42E1-93C5-679EFCB176A9}"/>
    <cellStyle name="Normal 5 5 3 4 4" xfId="10310" xr:uid="{C509E95E-1FB7-411C-9B3A-37FBC19D732E}"/>
    <cellStyle name="Normal 5 5 3 4 5" xfId="18758" xr:uid="{3406479F-941D-45CC-8DF8-C49B1B1A4B75}"/>
    <cellStyle name="Normal 5 5 3 5" xfId="2185" xr:uid="{00000000-0005-0000-0000-0000821B0000}"/>
    <cellStyle name="Normal 5 5 3 5 2" xfId="4414" xr:uid="{00000000-0005-0000-0000-0000831B0000}"/>
    <cellStyle name="Normal 5 5 3 5 2 2" xfId="8636" xr:uid="{00000000-0005-0000-0000-0000841B0000}"/>
    <cellStyle name="Normal 5 5 3 5 2 2 2" xfId="17086" xr:uid="{DF0C67B6-B4A2-4FCE-A212-CCC4ABB1C11D}"/>
    <cellStyle name="Normal 5 5 3 5 2 2 3" xfId="25533" xr:uid="{A49DD63C-0DC9-4DBB-B421-C2F5D7411E30}"/>
    <cellStyle name="Normal 5 5 3 5 2 3" xfId="12868" xr:uid="{1C0BCA88-8E96-4275-81ED-1E7ED97CFE3B}"/>
    <cellStyle name="Normal 5 5 3 5 2 4" xfId="21316" xr:uid="{58C3E3EC-0362-4B5E-9184-1680B9FC8974}"/>
    <cellStyle name="Normal 5 5 3 5 3" xfId="6491" xr:uid="{00000000-0005-0000-0000-0000851B0000}"/>
    <cellStyle name="Normal 5 5 3 5 3 2" xfId="14941" xr:uid="{BA122606-C1E4-4AAE-9F00-545F68DB3490}"/>
    <cellStyle name="Normal 5 5 3 5 3 3" xfId="23388" xr:uid="{CDF9EAE9-698F-42C3-AC52-C5FBC7FAA19E}"/>
    <cellStyle name="Normal 5 5 3 5 4" xfId="10723" xr:uid="{A18E811E-A740-452C-A44E-664A6AA25DC1}"/>
    <cellStyle name="Normal 5 5 3 5 5" xfId="19171" xr:uid="{96299209-5D43-4823-9563-0FEA164FE524}"/>
    <cellStyle name="Normal 5 5 3 6" xfId="2621" xr:uid="{00000000-0005-0000-0000-0000861B0000}"/>
    <cellStyle name="Normal 5 5 3 6 2" xfId="6904" xr:uid="{00000000-0005-0000-0000-0000871B0000}"/>
    <cellStyle name="Normal 5 5 3 6 2 2" xfId="15354" xr:uid="{015C7ACF-8A8A-482F-B677-1F7B8591FCBB}"/>
    <cellStyle name="Normal 5 5 3 6 2 3" xfId="23801" xr:uid="{4207AC64-78C3-4663-A132-F7E1C16B4CFB}"/>
    <cellStyle name="Normal 5 5 3 6 3" xfId="11136" xr:uid="{B85E52A7-5360-4611-BB19-A340013AD8DD}"/>
    <cellStyle name="Normal 5 5 3 6 4" xfId="19584" xr:uid="{9FFE40BF-3712-4372-B9DD-6B38D67788C7}"/>
    <cellStyle name="Normal 5 5 3 7" xfId="4839" xr:uid="{00000000-0005-0000-0000-0000881B0000}"/>
    <cellStyle name="Normal 5 5 3 7 2" xfId="13289" xr:uid="{EE61386E-509C-443A-80EA-DCEDB9778573}"/>
    <cellStyle name="Normal 5 5 3 7 3" xfId="21736" xr:uid="{002CDE40-B3AB-4E04-B81A-9DF07D03D6B6}"/>
    <cellStyle name="Normal 5 5 3 8" xfId="9071" xr:uid="{3E4A5689-5F1D-4D09-86D4-9C7AE664B25E}"/>
    <cellStyle name="Normal 5 5 3 9" xfId="17519" xr:uid="{DB35B541-D903-4F3E-AD23-58647994D71C}"/>
    <cellStyle name="Normal 5 5 4" xfId="938" xr:uid="{00000000-0005-0000-0000-0000891B0000}"/>
    <cellStyle name="Normal 5 5 4 2" xfId="3172" xr:uid="{00000000-0005-0000-0000-00008A1B0000}"/>
    <cellStyle name="Normal 5 5 4 2 2" xfId="7394" xr:uid="{00000000-0005-0000-0000-00008B1B0000}"/>
    <cellStyle name="Normal 5 5 4 2 2 2" xfId="15844" xr:uid="{ECEF9596-EDCE-4F72-BE47-895AFCA7D6FA}"/>
    <cellStyle name="Normal 5 5 4 2 2 3" xfId="24291" xr:uid="{95079FC7-9D66-4643-B969-EC4E444F8BB4}"/>
    <cellStyle name="Normal 5 5 4 2 3" xfId="11626" xr:uid="{F4868BE5-7EFD-4D3E-9114-8DF296B76398}"/>
    <cellStyle name="Normal 5 5 4 2 4" xfId="20074" xr:uid="{77C97B61-4D19-4939-A8AD-925EDA7A7D8A}"/>
    <cellStyle name="Normal 5 5 4 3" xfId="5249" xr:uid="{00000000-0005-0000-0000-00008C1B0000}"/>
    <cellStyle name="Normal 5 5 4 3 2" xfId="13699" xr:uid="{0967B23F-C665-4E83-BE5F-752E180E53A1}"/>
    <cellStyle name="Normal 5 5 4 3 3" xfId="22146" xr:uid="{BFC4ACD0-1196-4357-AFCC-1A63966DF3DD}"/>
    <cellStyle name="Normal 5 5 4 4" xfId="9481" xr:uid="{41C33E41-B1CE-4D47-8014-2BE685C68BA2}"/>
    <cellStyle name="Normal 5 5 4 5" xfId="17929" xr:uid="{4DC1172E-4C1D-47E4-B2D4-0A1F082E4716}"/>
    <cellStyle name="Normal 5 5 5" xfId="1355" xr:uid="{00000000-0005-0000-0000-00008D1B0000}"/>
    <cellStyle name="Normal 5 5 5 2" xfId="3585" xr:uid="{00000000-0005-0000-0000-00008E1B0000}"/>
    <cellStyle name="Normal 5 5 5 2 2" xfId="7807" xr:uid="{00000000-0005-0000-0000-00008F1B0000}"/>
    <cellStyle name="Normal 5 5 5 2 2 2" xfId="16257" xr:uid="{B4400AFC-3F3A-44C9-9681-A6A2AC236994}"/>
    <cellStyle name="Normal 5 5 5 2 2 3" xfId="24704" xr:uid="{3CF04F7A-3333-48C6-BF5A-8047763923F6}"/>
    <cellStyle name="Normal 5 5 5 2 3" xfId="12039" xr:uid="{4332F1C4-E45E-4E34-8EAF-E468760001EC}"/>
    <cellStyle name="Normal 5 5 5 2 4" xfId="20487" xr:uid="{1D5EAEF6-0293-4DAD-8022-6AF712036DA1}"/>
    <cellStyle name="Normal 5 5 5 3" xfId="5662" xr:uid="{00000000-0005-0000-0000-0000901B0000}"/>
    <cellStyle name="Normal 5 5 5 3 2" xfId="14112" xr:uid="{6C07168B-A6F9-408B-A7E5-1A32A865C471}"/>
    <cellStyle name="Normal 5 5 5 3 3" xfId="22559" xr:uid="{A45B150D-AA1A-495C-AC4B-6AA47401A74A}"/>
    <cellStyle name="Normal 5 5 5 4" xfId="9894" xr:uid="{3443D2D7-C514-4C91-9C74-9371F41C1C6C}"/>
    <cellStyle name="Normal 5 5 5 5" xfId="18342" xr:uid="{3B0871FF-FC94-4F13-B390-4559D3612119}"/>
    <cellStyle name="Normal 5 5 6" xfId="1768" xr:uid="{00000000-0005-0000-0000-0000911B0000}"/>
    <cellStyle name="Normal 5 5 6 2" xfId="3998" xr:uid="{00000000-0005-0000-0000-0000921B0000}"/>
    <cellStyle name="Normal 5 5 6 2 2" xfId="8220" xr:uid="{00000000-0005-0000-0000-0000931B0000}"/>
    <cellStyle name="Normal 5 5 6 2 2 2" xfId="16670" xr:uid="{B0C547D6-09A1-46DC-B444-74DC7898D3C0}"/>
    <cellStyle name="Normal 5 5 6 2 2 3" xfId="25117" xr:uid="{7AEB9BD3-5AAC-443B-BBAC-0BE513A2329D}"/>
    <cellStyle name="Normal 5 5 6 2 3" xfId="12452" xr:uid="{B1E08599-F3BB-482F-8158-9289D2F43847}"/>
    <cellStyle name="Normal 5 5 6 2 4" xfId="20900" xr:uid="{EB8415C3-7076-480D-B83D-D341E148A861}"/>
    <cellStyle name="Normal 5 5 6 3" xfId="6075" xr:uid="{00000000-0005-0000-0000-0000941B0000}"/>
    <cellStyle name="Normal 5 5 6 3 2" xfId="14525" xr:uid="{EEE5C509-D9E3-48D5-A08A-A7BB201F825F}"/>
    <cellStyle name="Normal 5 5 6 3 3" xfId="22972" xr:uid="{90B72AC8-1EBD-47A9-A38E-8EBAD2C7DBAA}"/>
    <cellStyle name="Normal 5 5 6 4" xfId="10307" xr:uid="{9ED3408A-76B6-4480-8EAB-8C9B13152ED3}"/>
    <cellStyle name="Normal 5 5 6 5" xfId="18755" xr:uid="{B51BF3BD-28DB-4F46-831E-9CEB47EA435F}"/>
    <cellStyle name="Normal 5 5 7" xfId="2182" xr:uid="{00000000-0005-0000-0000-0000951B0000}"/>
    <cellStyle name="Normal 5 5 7 2" xfId="4411" xr:uid="{00000000-0005-0000-0000-0000961B0000}"/>
    <cellStyle name="Normal 5 5 7 2 2" xfId="8633" xr:uid="{00000000-0005-0000-0000-0000971B0000}"/>
    <cellStyle name="Normal 5 5 7 2 2 2" xfId="17083" xr:uid="{FF757C59-D3BD-4109-8049-4BF962A8D68E}"/>
    <cellStyle name="Normal 5 5 7 2 2 3" xfId="25530" xr:uid="{A891EF31-2D22-40C5-AA19-0CBEE23D7C15}"/>
    <cellStyle name="Normal 5 5 7 2 3" xfId="12865" xr:uid="{7FB9FE0C-034B-4415-B15B-099D5E10BD95}"/>
    <cellStyle name="Normal 5 5 7 2 4" xfId="21313" xr:uid="{F8E31587-6364-4423-A98C-C0EDE4D28CFB}"/>
    <cellStyle name="Normal 5 5 7 3" xfId="6488" xr:uid="{00000000-0005-0000-0000-0000981B0000}"/>
    <cellStyle name="Normal 5 5 7 3 2" xfId="14938" xr:uid="{332027BF-32D2-402F-B99E-7AF05C63F6D0}"/>
    <cellStyle name="Normal 5 5 7 3 3" xfId="23385" xr:uid="{5C407544-845A-4D13-85FF-A34A6B58BCDC}"/>
    <cellStyle name="Normal 5 5 7 4" xfId="10720" xr:uid="{D0957F00-90E4-4F6B-8C05-F21BA68CDA5B}"/>
    <cellStyle name="Normal 5 5 7 5" xfId="19168" xr:uid="{48E22668-8531-4538-BF93-8F7147BE6105}"/>
    <cellStyle name="Normal 5 5 8" xfId="2618" xr:uid="{00000000-0005-0000-0000-0000991B0000}"/>
    <cellStyle name="Normal 5 5 8 2" xfId="6901" xr:uid="{00000000-0005-0000-0000-00009A1B0000}"/>
    <cellStyle name="Normal 5 5 8 2 2" xfId="15351" xr:uid="{7FBB275D-2589-427F-BA68-EAD3425AB407}"/>
    <cellStyle name="Normal 5 5 8 2 3" xfId="23798" xr:uid="{751BEA56-0D76-4E84-822F-B2FDD08B2ECA}"/>
    <cellStyle name="Normal 5 5 8 3" xfId="11133" xr:uid="{F1D73C83-1258-42E7-819E-947D0D515B08}"/>
    <cellStyle name="Normal 5 5 8 4" xfId="19581" xr:uid="{0B2A2DC1-380A-4C34-87A5-EF5A1A683F43}"/>
    <cellStyle name="Normal 5 5 9" xfId="4836" xr:uid="{00000000-0005-0000-0000-00009B1B0000}"/>
    <cellStyle name="Normal 5 5 9 2" xfId="13286" xr:uid="{18999E84-DABA-4528-B0D9-C7D56EC2CE10}"/>
    <cellStyle name="Normal 5 5 9 3" xfId="21733" xr:uid="{CBAF41FB-0CA3-4EA3-907F-534FF982AD0B}"/>
    <cellStyle name="Normal 5 6" xfId="468" xr:uid="{00000000-0005-0000-0000-00009C1B0000}"/>
    <cellStyle name="Normal 5 6 10" xfId="17520" xr:uid="{CAEDB0CC-80D4-48EF-91BC-F360DD3AE797}"/>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2 2 2" xfId="15849" xr:uid="{8BDBCA4E-1FE7-4470-9B83-3DE1962EE71F}"/>
    <cellStyle name="Normal 5 6 2 2 2 2 3" xfId="24296" xr:uid="{8C34E6CA-5210-441F-8A1D-0376DE58EEAC}"/>
    <cellStyle name="Normal 5 6 2 2 2 3" xfId="11631" xr:uid="{0D70B95D-6A7B-48BE-AD11-6EC701AFF707}"/>
    <cellStyle name="Normal 5 6 2 2 2 4" xfId="20079" xr:uid="{14C10BEB-D1C2-4159-91B3-6CE8DF698A9E}"/>
    <cellStyle name="Normal 5 6 2 2 3" xfId="5254" xr:uid="{00000000-0005-0000-0000-0000A11B0000}"/>
    <cellStyle name="Normal 5 6 2 2 3 2" xfId="13704" xr:uid="{47397202-D474-41BE-907F-1D0C7AC9D950}"/>
    <cellStyle name="Normal 5 6 2 2 3 3" xfId="22151" xr:uid="{8667F58A-B8C4-4684-AF2C-9E1E18CB9BDA}"/>
    <cellStyle name="Normal 5 6 2 2 4" xfId="9486" xr:uid="{A7145F63-9B02-48E6-A982-CF608C82841E}"/>
    <cellStyle name="Normal 5 6 2 2 5" xfId="17934" xr:uid="{49A0132D-A4FF-4128-A8AC-73687E040BBA}"/>
    <cellStyle name="Normal 5 6 2 3" xfId="1360" xr:uid="{00000000-0005-0000-0000-0000A21B0000}"/>
    <cellStyle name="Normal 5 6 2 3 2" xfId="3590" xr:uid="{00000000-0005-0000-0000-0000A31B0000}"/>
    <cellStyle name="Normal 5 6 2 3 2 2" xfId="7812" xr:uid="{00000000-0005-0000-0000-0000A41B0000}"/>
    <cellStyle name="Normal 5 6 2 3 2 2 2" xfId="16262" xr:uid="{56CA76D7-2088-467F-934E-528C84292CA3}"/>
    <cellStyle name="Normal 5 6 2 3 2 2 3" xfId="24709" xr:uid="{F15397BA-0189-486F-BDC5-71A15E654F93}"/>
    <cellStyle name="Normal 5 6 2 3 2 3" xfId="12044" xr:uid="{141016F6-6AFF-41CD-8D48-94589F1E8802}"/>
    <cellStyle name="Normal 5 6 2 3 2 4" xfId="20492" xr:uid="{A4E07B34-34B7-4E95-AE24-E57E86567105}"/>
    <cellStyle name="Normal 5 6 2 3 3" xfId="5667" xr:uid="{00000000-0005-0000-0000-0000A51B0000}"/>
    <cellStyle name="Normal 5 6 2 3 3 2" xfId="14117" xr:uid="{CF56F5D5-107E-4E54-B565-9061416B19FC}"/>
    <cellStyle name="Normal 5 6 2 3 3 3" xfId="22564" xr:uid="{69485897-FB0B-4930-B013-228F8AD460B9}"/>
    <cellStyle name="Normal 5 6 2 3 4" xfId="9899" xr:uid="{DE52D832-6F5D-4A40-8AEC-9A859BB8B76F}"/>
    <cellStyle name="Normal 5 6 2 3 5" xfId="18347" xr:uid="{209E4205-DE55-4DD4-B48F-3A001CC4A01C}"/>
    <cellStyle name="Normal 5 6 2 4" xfId="1773" xr:uid="{00000000-0005-0000-0000-0000A61B0000}"/>
    <cellStyle name="Normal 5 6 2 4 2" xfId="4003" xr:uid="{00000000-0005-0000-0000-0000A71B0000}"/>
    <cellStyle name="Normal 5 6 2 4 2 2" xfId="8225" xr:uid="{00000000-0005-0000-0000-0000A81B0000}"/>
    <cellStyle name="Normal 5 6 2 4 2 2 2" xfId="16675" xr:uid="{4C94FA70-F06C-421A-9086-2B65DCD1BD40}"/>
    <cellStyle name="Normal 5 6 2 4 2 2 3" xfId="25122" xr:uid="{B04DFD4D-3A49-4EAE-B908-E155F3897815}"/>
    <cellStyle name="Normal 5 6 2 4 2 3" xfId="12457" xr:uid="{71900FCA-8AAC-4AAB-AE44-213E48306BA5}"/>
    <cellStyle name="Normal 5 6 2 4 2 4" xfId="20905" xr:uid="{6AEE1559-19D2-42E7-A1B1-2DAB9FD2B383}"/>
    <cellStyle name="Normal 5 6 2 4 3" xfId="6080" xr:uid="{00000000-0005-0000-0000-0000A91B0000}"/>
    <cellStyle name="Normal 5 6 2 4 3 2" xfId="14530" xr:uid="{61317F58-AC1D-4285-87DF-14A09119D447}"/>
    <cellStyle name="Normal 5 6 2 4 3 3" xfId="22977" xr:uid="{4686321C-9033-41D0-82DE-F3062DF07A0E}"/>
    <cellStyle name="Normal 5 6 2 4 4" xfId="10312" xr:uid="{63A58062-E2D2-473F-9F21-4B91FDB3CA3A}"/>
    <cellStyle name="Normal 5 6 2 4 5" xfId="18760" xr:uid="{A4BBBD94-346D-4DD5-A948-790F3EBBE6D7}"/>
    <cellStyle name="Normal 5 6 2 5" xfId="2187" xr:uid="{00000000-0005-0000-0000-0000AA1B0000}"/>
    <cellStyle name="Normal 5 6 2 5 2" xfId="4416" xr:uid="{00000000-0005-0000-0000-0000AB1B0000}"/>
    <cellStyle name="Normal 5 6 2 5 2 2" xfId="8638" xr:uid="{00000000-0005-0000-0000-0000AC1B0000}"/>
    <cellStyle name="Normal 5 6 2 5 2 2 2" xfId="17088" xr:uid="{11D86808-8348-4EA6-A6EB-BD3A302DE953}"/>
    <cellStyle name="Normal 5 6 2 5 2 2 3" xfId="25535" xr:uid="{535D2592-C343-4A3B-9823-702C4AC14505}"/>
    <cellStyle name="Normal 5 6 2 5 2 3" xfId="12870" xr:uid="{C3182DDD-4E45-443E-8F27-8DDF3C25A834}"/>
    <cellStyle name="Normal 5 6 2 5 2 4" xfId="21318" xr:uid="{2148E009-9F7E-4232-9D27-5C55561250F7}"/>
    <cellStyle name="Normal 5 6 2 5 3" xfId="6493" xr:uid="{00000000-0005-0000-0000-0000AD1B0000}"/>
    <cellStyle name="Normal 5 6 2 5 3 2" xfId="14943" xr:uid="{FB12876B-A61F-4348-AF93-2EBDADF25B5E}"/>
    <cellStyle name="Normal 5 6 2 5 3 3" xfId="23390" xr:uid="{2D047779-4290-4AB4-A76F-3E57CC50AF3E}"/>
    <cellStyle name="Normal 5 6 2 5 4" xfId="10725" xr:uid="{5D7B48D0-4281-418A-B2D7-9C4E70FACB3F}"/>
    <cellStyle name="Normal 5 6 2 5 5" xfId="19173" xr:uid="{8BC17915-9551-40DA-B33E-025B2A51C301}"/>
    <cellStyle name="Normal 5 6 2 6" xfId="2623" xr:uid="{00000000-0005-0000-0000-0000AE1B0000}"/>
    <cellStyle name="Normal 5 6 2 6 2" xfId="6906" xr:uid="{00000000-0005-0000-0000-0000AF1B0000}"/>
    <cellStyle name="Normal 5 6 2 6 2 2" xfId="15356" xr:uid="{CE39C9DF-353A-43D2-A431-1D0E44F42140}"/>
    <cellStyle name="Normal 5 6 2 6 2 3" xfId="23803" xr:uid="{54C01AE4-E348-4717-82BC-0889BB571E1D}"/>
    <cellStyle name="Normal 5 6 2 6 3" xfId="11138" xr:uid="{3F0077EF-17A5-4FCD-92D7-4CC6877E484C}"/>
    <cellStyle name="Normal 5 6 2 6 4" xfId="19586" xr:uid="{65948BC6-164D-4BCC-9DCE-9C69E9546D22}"/>
    <cellStyle name="Normal 5 6 2 7" xfId="4841" xr:uid="{00000000-0005-0000-0000-0000B01B0000}"/>
    <cellStyle name="Normal 5 6 2 7 2" xfId="13291" xr:uid="{DF8D3CE4-45BA-434F-BCAC-87E2562F98BC}"/>
    <cellStyle name="Normal 5 6 2 7 3" xfId="21738" xr:uid="{5ED3B108-5111-40D2-97D2-40C05AAB36AE}"/>
    <cellStyle name="Normal 5 6 2 8" xfId="9073" xr:uid="{4B347737-E177-49C5-A422-0300F65686A4}"/>
    <cellStyle name="Normal 5 6 2 9" xfId="17521" xr:uid="{007E4311-21CC-4BE5-8AE1-48FE2EF59D99}"/>
    <cellStyle name="Normal 5 6 3" xfId="942" xr:uid="{00000000-0005-0000-0000-0000B11B0000}"/>
    <cellStyle name="Normal 5 6 3 2" xfId="3176" xr:uid="{00000000-0005-0000-0000-0000B21B0000}"/>
    <cellStyle name="Normal 5 6 3 2 2" xfId="7398" xr:uid="{00000000-0005-0000-0000-0000B31B0000}"/>
    <cellStyle name="Normal 5 6 3 2 2 2" xfId="15848" xr:uid="{52C2B0B5-7236-42BB-8460-651F533D47F7}"/>
    <cellStyle name="Normal 5 6 3 2 2 3" xfId="24295" xr:uid="{B9E5C74D-34CD-4988-9488-7804658C8432}"/>
    <cellStyle name="Normal 5 6 3 2 3" xfId="11630" xr:uid="{B8A22B15-0C19-4A05-98B7-C1AE8AE9D61E}"/>
    <cellStyle name="Normal 5 6 3 2 4" xfId="20078" xr:uid="{CEB51A65-D42C-48F0-8116-85D473F16DAF}"/>
    <cellStyle name="Normal 5 6 3 3" xfId="5253" xr:uid="{00000000-0005-0000-0000-0000B41B0000}"/>
    <cellStyle name="Normal 5 6 3 3 2" xfId="13703" xr:uid="{E1D88F57-AA2B-465E-BAA4-F6E636D1BEFA}"/>
    <cellStyle name="Normal 5 6 3 3 3" xfId="22150" xr:uid="{68908A10-C9C1-44A8-89C7-3E17E501F3CC}"/>
    <cellStyle name="Normal 5 6 3 4" xfId="9485" xr:uid="{9B7A21D1-47E3-4E49-B369-A528247B63D4}"/>
    <cellStyle name="Normal 5 6 3 5" xfId="17933" xr:uid="{DA8BF778-2987-4540-A191-4E0C43F74CAF}"/>
    <cellStyle name="Normal 5 6 4" xfId="1359" xr:uid="{00000000-0005-0000-0000-0000B51B0000}"/>
    <cellStyle name="Normal 5 6 4 2" xfId="3589" xr:uid="{00000000-0005-0000-0000-0000B61B0000}"/>
    <cellStyle name="Normal 5 6 4 2 2" xfId="7811" xr:uid="{00000000-0005-0000-0000-0000B71B0000}"/>
    <cellStyle name="Normal 5 6 4 2 2 2" xfId="16261" xr:uid="{4E78527B-08AB-4FB4-A047-F4D807705ABA}"/>
    <cellStyle name="Normal 5 6 4 2 2 3" xfId="24708" xr:uid="{8316764D-8A82-42EC-9BE6-8DB775E28207}"/>
    <cellStyle name="Normal 5 6 4 2 3" xfId="12043" xr:uid="{7A6E8E15-AC2A-4AEE-B0D0-1BC15E010390}"/>
    <cellStyle name="Normal 5 6 4 2 4" xfId="20491" xr:uid="{98DD88DD-B10D-4C2A-B08C-1604EFC12789}"/>
    <cellStyle name="Normal 5 6 4 3" xfId="5666" xr:uid="{00000000-0005-0000-0000-0000B81B0000}"/>
    <cellStyle name="Normal 5 6 4 3 2" xfId="14116" xr:uid="{F593092B-740B-473C-A938-B7DBE8E6B99F}"/>
    <cellStyle name="Normal 5 6 4 3 3" xfId="22563" xr:uid="{D2FD1287-6A26-43FA-A3F3-6A91357B8C1A}"/>
    <cellStyle name="Normal 5 6 4 4" xfId="9898" xr:uid="{C32BFE0C-8FE3-4F94-8C37-AE6B6488FCF4}"/>
    <cellStyle name="Normal 5 6 4 5" xfId="18346" xr:uid="{2E8C5599-9383-4742-85EF-A48F8DA6F224}"/>
    <cellStyle name="Normal 5 6 5" xfId="1772" xr:uid="{00000000-0005-0000-0000-0000B91B0000}"/>
    <cellStyle name="Normal 5 6 5 2" xfId="4002" xr:uid="{00000000-0005-0000-0000-0000BA1B0000}"/>
    <cellStyle name="Normal 5 6 5 2 2" xfId="8224" xr:uid="{00000000-0005-0000-0000-0000BB1B0000}"/>
    <cellStyle name="Normal 5 6 5 2 2 2" xfId="16674" xr:uid="{06E99D8C-A304-43EA-A7BB-734B36DEF28D}"/>
    <cellStyle name="Normal 5 6 5 2 2 3" xfId="25121" xr:uid="{0AA2622F-D61C-4377-973F-CBBFE23F6A25}"/>
    <cellStyle name="Normal 5 6 5 2 3" xfId="12456" xr:uid="{EA89327F-84D7-491B-B67C-AC2A72D0B36A}"/>
    <cellStyle name="Normal 5 6 5 2 4" xfId="20904" xr:uid="{C8EC61C5-52EA-4C3D-8524-5C6FDF0F1395}"/>
    <cellStyle name="Normal 5 6 5 3" xfId="6079" xr:uid="{00000000-0005-0000-0000-0000BC1B0000}"/>
    <cellStyle name="Normal 5 6 5 3 2" xfId="14529" xr:uid="{7162F5DA-07FF-43FB-8A80-B31B7FEB8105}"/>
    <cellStyle name="Normal 5 6 5 3 3" xfId="22976" xr:uid="{6EE4CC9B-36A9-4BA5-BABC-0E758D663E64}"/>
    <cellStyle name="Normal 5 6 5 4" xfId="10311" xr:uid="{736800A4-AC8A-4357-B50A-5854718ABE9A}"/>
    <cellStyle name="Normal 5 6 5 5" xfId="18759" xr:uid="{EAD63B01-E249-4F5C-8884-D8CBEB20F584}"/>
    <cellStyle name="Normal 5 6 6" xfId="2186" xr:uid="{00000000-0005-0000-0000-0000BD1B0000}"/>
    <cellStyle name="Normal 5 6 6 2" xfId="4415" xr:uid="{00000000-0005-0000-0000-0000BE1B0000}"/>
    <cellStyle name="Normal 5 6 6 2 2" xfId="8637" xr:uid="{00000000-0005-0000-0000-0000BF1B0000}"/>
    <cellStyle name="Normal 5 6 6 2 2 2" xfId="17087" xr:uid="{75990C67-95EE-4DB9-A1EC-B31D3C621567}"/>
    <cellStyle name="Normal 5 6 6 2 2 3" xfId="25534" xr:uid="{2081A8B0-3E3C-4A14-935F-F2CAEF94E471}"/>
    <cellStyle name="Normal 5 6 6 2 3" xfId="12869" xr:uid="{66C1F6B3-8EED-4FA2-AD20-14D947C98FFD}"/>
    <cellStyle name="Normal 5 6 6 2 4" xfId="21317" xr:uid="{48CA29EE-D91C-40A9-8442-3D4865156FC3}"/>
    <cellStyle name="Normal 5 6 6 3" xfId="6492" xr:uid="{00000000-0005-0000-0000-0000C01B0000}"/>
    <cellStyle name="Normal 5 6 6 3 2" xfId="14942" xr:uid="{CC87FCF6-20E9-47C6-B6D4-B44E3CEFA311}"/>
    <cellStyle name="Normal 5 6 6 3 3" xfId="23389" xr:uid="{EEAC2646-F99B-4A9C-8B5D-C6395916DC69}"/>
    <cellStyle name="Normal 5 6 6 4" xfId="10724" xr:uid="{EB71DA1E-6328-4C8D-8175-2DAAB85D4262}"/>
    <cellStyle name="Normal 5 6 6 5" xfId="19172" xr:uid="{344574C9-42BF-4DDD-849F-7D801064C148}"/>
    <cellStyle name="Normal 5 6 7" xfId="2622" xr:uid="{00000000-0005-0000-0000-0000C11B0000}"/>
    <cellStyle name="Normal 5 6 7 2" xfId="6905" xr:uid="{00000000-0005-0000-0000-0000C21B0000}"/>
    <cellStyle name="Normal 5 6 7 2 2" xfId="15355" xr:uid="{541701A4-F3EA-4CE3-B67E-94BF26C2E5A2}"/>
    <cellStyle name="Normal 5 6 7 2 3" xfId="23802" xr:uid="{201C0C01-F99A-430C-ADC3-B98D0EF4C5E4}"/>
    <cellStyle name="Normal 5 6 7 3" xfId="11137" xr:uid="{71EDC12F-42D0-4560-91B4-1B2B68BD9375}"/>
    <cellStyle name="Normal 5 6 7 4" xfId="19585" xr:uid="{C70F55CA-6AEF-4B4D-9691-4633059D32D1}"/>
    <cellStyle name="Normal 5 6 8" xfId="4840" xr:uid="{00000000-0005-0000-0000-0000C31B0000}"/>
    <cellStyle name="Normal 5 6 8 2" xfId="13290" xr:uid="{609D735B-1C39-40AC-8C07-7B2BDDD5F716}"/>
    <cellStyle name="Normal 5 6 8 3" xfId="21737" xr:uid="{11D9AB74-B017-44FF-A960-4AA3D7D1BF8D}"/>
    <cellStyle name="Normal 5 6 9" xfId="9072" xr:uid="{AAF1170A-A51A-4DD0-8A37-74CFBD2A9866}"/>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2 2 2" xfId="15850" xr:uid="{FE5917A5-CAF1-4181-8D2E-05927A02BFCC}"/>
    <cellStyle name="Normal 5 7 2 2 2 3" xfId="24297" xr:uid="{978C8384-EDC4-4BC4-8251-778B9547BA44}"/>
    <cellStyle name="Normal 5 7 2 2 3" xfId="11632" xr:uid="{1C0E7C84-5DC5-43A3-BBDC-51D25941D0E4}"/>
    <cellStyle name="Normal 5 7 2 2 4" xfId="20080" xr:uid="{71624DCB-D177-4255-84FE-35345CF1B91D}"/>
    <cellStyle name="Normal 5 7 2 3" xfId="5255" xr:uid="{00000000-0005-0000-0000-0000C81B0000}"/>
    <cellStyle name="Normal 5 7 2 3 2" xfId="13705" xr:uid="{29D57EAE-0F68-4BD0-9756-71A88BF3E0D8}"/>
    <cellStyle name="Normal 5 7 2 3 3" xfId="22152" xr:uid="{2E271872-602A-4924-9B66-247D13D63A36}"/>
    <cellStyle name="Normal 5 7 2 4" xfId="9487" xr:uid="{FF1CE00A-49CD-4597-9827-9B81A3A305D6}"/>
    <cellStyle name="Normal 5 7 2 5" xfId="17935" xr:uid="{3C49D45D-92D0-45B4-9E6D-E3EFE0505E4F}"/>
    <cellStyle name="Normal 5 7 3" xfId="1361" xr:uid="{00000000-0005-0000-0000-0000C91B0000}"/>
    <cellStyle name="Normal 5 7 3 2" xfId="3591" xr:uid="{00000000-0005-0000-0000-0000CA1B0000}"/>
    <cellStyle name="Normal 5 7 3 2 2" xfId="7813" xr:uid="{00000000-0005-0000-0000-0000CB1B0000}"/>
    <cellStyle name="Normal 5 7 3 2 2 2" xfId="16263" xr:uid="{7927A223-BD5A-4F5C-ADE8-B979F5D07CA3}"/>
    <cellStyle name="Normal 5 7 3 2 2 3" xfId="24710" xr:uid="{07E6B0FE-D327-4585-99F0-A01C8ED25CB7}"/>
    <cellStyle name="Normal 5 7 3 2 3" xfId="12045" xr:uid="{A9AF7A03-6A9E-4641-A37C-A1A375D79D26}"/>
    <cellStyle name="Normal 5 7 3 2 4" xfId="20493" xr:uid="{019871C2-648A-4C34-9275-E2F7ED591725}"/>
    <cellStyle name="Normal 5 7 3 3" xfId="5668" xr:uid="{00000000-0005-0000-0000-0000CC1B0000}"/>
    <cellStyle name="Normal 5 7 3 3 2" xfId="14118" xr:uid="{409C4573-B73F-4D87-B516-59D144054BEB}"/>
    <cellStyle name="Normal 5 7 3 3 3" xfId="22565" xr:uid="{9B4BBE63-8E7C-4B73-83DC-F7FE5A7B4023}"/>
    <cellStyle name="Normal 5 7 3 4" xfId="9900" xr:uid="{C929831A-41FA-4D16-9BBC-18015E410C71}"/>
    <cellStyle name="Normal 5 7 3 5" xfId="18348" xr:uid="{B6501EF5-874F-4CDB-A124-04E6DEEF73EE}"/>
    <cellStyle name="Normal 5 7 4" xfId="1774" xr:uid="{00000000-0005-0000-0000-0000CD1B0000}"/>
    <cellStyle name="Normal 5 7 4 2" xfId="4004" xr:uid="{00000000-0005-0000-0000-0000CE1B0000}"/>
    <cellStyle name="Normal 5 7 4 2 2" xfId="8226" xr:uid="{00000000-0005-0000-0000-0000CF1B0000}"/>
    <cellStyle name="Normal 5 7 4 2 2 2" xfId="16676" xr:uid="{67697C25-37B3-4E48-9CE3-A8050168C695}"/>
    <cellStyle name="Normal 5 7 4 2 2 3" xfId="25123" xr:uid="{6B997D0D-0B37-461B-8A08-DA9F4E02CAF7}"/>
    <cellStyle name="Normal 5 7 4 2 3" xfId="12458" xr:uid="{2669C7FD-F255-43B0-9688-D69CE3236482}"/>
    <cellStyle name="Normal 5 7 4 2 4" xfId="20906" xr:uid="{1A7B5262-1C4D-46FB-958F-3E12DDCF9996}"/>
    <cellStyle name="Normal 5 7 4 3" xfId="6081" xr:uid="{00000000-0005-0000-0000-0000D01B0000}"/>
    <cellStyle name="Normal 5 7 4 3 2" xfId="14531" xr:uid="{2D8BF465-FEA9-4A3F-93D7-A0D531F5745A}"/>
    <cellStyle name="Normal 5 7 4 3 3" xfId="22978" xr:uid="{2AB88B8C-B7FB-4C0E-87E4-23130A0D6BBF}"/>
    <cellStyle name="Normal 5 7 4 4" xfId="10313" xr:uid="{6E2BDA81-EFE2-4914-ACBE-397D00F92062}"/>
    <cellStyle name="Normal 5 7 4 5" xfId="18761" xr:uid="{D0AEA630-C1B7-4CDA-B4FB-6008427CD648}"/>
    <cellStyle name="Normal 5 7 5" xfId="2188" xr:uid="{00000000-0005-0000-0000-0000D11B0000}"/>
    <cellStyle name="Normal 5 7 5 2" xfId="4417" xr:uid="{00000000-0005-0000-0000-0000D21B0000}"/>
    <cellStyle name="Normal 5 7 5 2 2" xfId="8639" xr:uid="{00000000-0005-0000-0000-0000D31B0000}"/>
    <cellStyle name="Normal 5 7 5 2 2 2" xfId="17089" xr:uid="{719DAB7B-CC18-4601-91D8-45F6575F0580}"/>
    <cellStyle name="Normal 5 7 5 2 2 3" xfId="25536" xr:uid="{2275C098-D361-4208-AD36-A14720BD7A8A}"/>
    <cellStyle name="Normal 5 7 5 2 3" xfId="12871" xr:uid="{2C6AD4D3-9855-46DB-BA68-F16E0B14308F}"/>
    <cellStyle name="Normal 5 7 5 2 4" xfId="21319" xr:uid="{F0D50FBC-EFEA-42A4-8BDB-AFC45D8E2FEF}"/>
    <cellStyle name="Normal 5 7 5 3" xfId="6494" xr:uid="{00000000-0005-0000-0000-0000D41B0000}"/>
    <cellStyle name="Normal 5 7 5 3 2" xfId="14944" xr:uid="{6FA3A43F-FECE-4829-8AA8-1EEA30C3CF9C}"/>
    <cellStyle name="Normal 5 7 5 3 3" xfId="23391" xr:uid="{B2586618-018A-4C6B-B5D1-A8E999EF9645}"/>
    <cellStyle name="Normal 5 7 5 4" xfId="10726" xr:uid="{FFC7F957-DCB5-4A58-B8D6-D2CF41801D26}"/>
    <cellStyle name="Normal 5 7 5 5" xfId="19174" xr:uid="{20F7E355-E6E7-40C5-A9E6-A230ED1E9ED2}"/>
    <cellStyle name="Normal 5 7 6" xfId="2624" xr:uid="{00000000-0005-0000-0000-0000D51B0000}"/>
    <cellStyle name="Normal 5 7 6 2" xfId="6907" xr:uid="{00000000-0005-0000-0000-0000D61B0000}"/>
    <cellStyle name="Normal 5 7 6 2 2" xfId="15357" xr:uid="{0EF7F04B-9E4A-4926-B8F6-1A80DB1CFA94}"/>
    <cellStyle name="Normal 5 7 6 2 3" xfId="23804" xr:uid="{0E8AA120-7902-46D9-B3C5-A604AA6DB67C}"/>
    <cellStyle name="Normal 5 7 6 3" xfId="11139" xr:uid="{A826824E-AFFB-4247-8322-4B92D4E026C9}"/>
    <cellStyle name="Normal 5 7 6 4" xfId="19587" xr:uid="{A3D19AAB-39C6-423E-AFE9-5342B9387368}"/>
    <cellStyle name="Normal 5 7 7" xfId="4842" xr:uid="{00000000-0005-0000-0000-0000D71B0000}"/>
    <cellStyle name="Normal 5 7 7 2" xfId="13292" xr:uid="{EB09CA45-3C64-43CE-9B50-009D114EFDC9}"/>
    <cellStyle name="Normal 5 7 7 3" xfId="21739" xr:uid="{321EC28D-2BFE-4302-92CA-2D7AC4B6CF2D}"/>
    <cellStyle name="Normal 5 7 8" xfId="9074" xr:uid="{166F4D38-893A-4E96-87BF-6DE797D6D05C}"/>
    <cellStyle name="Normal 5 7 9" xfId="17522" xr:uid="{83527FBD-82D4-4A01-909F-6AF9F2704A0E}"/>
    <cellStyle name="Normal 5 8" xfId="880" xr:uid="{00000000-0005-0000-0000-0000D81B0000}"/>
    <cellStyle name="Normal 5 8 2" xfId="3115" xr:uid="{00000000-0005-0000-0000-0000D91B0000}"/>
    <cellStyle name="Normal 5 8 2 2" xfId="7337" xr:uid="{00000000-0005-0000-0000-0000DA1B0000}"/>
    <cellStyle name="Normal 5 8 2 2 2" xfId="15787" xr:uid="{1C7A7264-414E-4056-81A8-6445641086BD}"/>
    <cellStyle name="Normal 5 8 2 2 3" xfId="24234" xr:uid="{ED12371E-8809-465B-9702-D36FB2E51122}"/>
    <cellStyle name="Normal 5 8 2 3" xfId="11569" xr:uid="{C91153D2-4BF9-4FD9-A063-E3744CC1D53E}"/>
    <cellStyle name="Normal 5 8 2 4" xfId="20017" xr:uid="{D855FC1F-762A-4B3A-9A77-F961C6ADA4ED}"/>
    <cellStyle name="Normal 5 8 3" xfId="5192" xr:uid="{00000000-0005-0000-0000-0000DB1B0000}"/>
    <cellStyle name="Normal 5 8 3 2" xfId="13642" xr:uid="{83227100-989D-4391-BF8B-640DD5EBF275}"/>
    <cellStyle name="Normal 5 8 3 3" xfId="22089" xr:uid="{3AC945D7-6C15-4C80-A95C-F106061AE4DE}"/>
    <cellStyle name="Normal 5 8 4" xfId="9424" xr:uid="{EFFDAF6E-1017-48DD-A6FB-4E543DE82CCD}"/>
    <cellStyle name="Normal 5 8 5" xfId="17872" xr:uid="{446A29D4-A556-4A13-BF82-102902475E8D}"/>
    <cellStyle name="Normal 5 9" xfId="1298" xr:uid="{00000000-0005-0000-0000-0000DC1B0000}"/>
    <cellStyle name="Normal 5 9 2" xfId="3528" xr:uid="{00000000-0005-0000-0000-0000DD1B0000}"/>
    <cellStyle name="Normal 5 9 2 2" xfId="7750" xr:uid="{00000000-0005-0000-0000-0000DE1B0000}"/>
    <cellStyle name="Normal 5 9 2 2 2" xfId="16200" xr:uid="{BBF840A7-8A28-4E95-8025-2154F2241CF5}"/>
    <cellStyle name="Normal 5 9 2 2 3" xfId="24647" xr:uid="{CDE3DDAF-218B-4B29-A433-91F157DE5F62}"/>
    <cellStyle name="Normal 5 9 2 3" xfId="11982" xr:uid="{D0F41B51-5F29-40E3-82D2-DFA887A87794}"/>
    <cellStyle name="Normal 5 9 2 4" xfId="20430" xr:uid="{6CA64D64-83A0-4957-81D9-A24C74005DE8}"/>
    <cellStyle name="Normal 5 9 3" xfId="5605" xr:uid="{00000000-0005-0000-0000-0000DF1B0000}"/>
    <cellStyle name="Normal 5 9 3 2" xfId="14055" xr:uid="{D0521F94-12D1-4F39-ABFD-A8459E1236EF}"/>
    <cellStyle name="Normal 5 9 3 3" xfId="22502" xr:uid="{88E8CA9D-AD79-4D0B-85F5-A70AEAF6F0FC}"/>
    <cellStyle name="Normal 5 9 4" xfId="9837" xr:uid="{F849F7E1-59E2-4ACC-9D57-6BB672859D4C}"/>
    <cellStyle name="Normal 5 9 5" xfId="18285" xr:uid="{30B1C543-A54C-4BA0-A3EF-21B742D3691E}"/>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2 2 2" xfId="17090" xr:uid="{913CDDE2-F6C0-4BD5-878D-E73D2770588B}"/>
    <cellStyle name="Normal 8 10 2 2 3" xfId="25537" xr:uid="{919BF959-8B72-4B40-9F13-DAB2231E4026}"/>
    <cellStyle name="Normal 8 10 2 3" xfId="12872" xr:uid="{FA7D3377-EA49-461A-AD85-1430DF1FA703}"/>
    <cellStyle name="Normal 8 10 2 4" xfId="21320" xr:uid="{CEBF01CF-4610-4B21-AA85-8AFF83E1D0C8}"/>
    <cellStyle name="Normal 8 10 3" xfId="6495" xr:uid="{00000000-0005-0000-0000-0000EB1B0000}"/>
    <cellStyle name="Normal 8 10 3 2" xfId="14945" xr:uid="{D2F551C4-B16E-4476-87A6-DD825F687736}"/>
    <cellStyle name="Normal 8 10 3 3" xfId="23392" xr:uid="{110C3DC8-B76C-43AB-9644-E4351A2FD376}"/>
    <cellStyle name="Normal 8 10 4" xfId="10727" xr:uid="{005B01FE-D6C6-4749-A10D-6C6D76A47086}"/>
    <cellStyle name="Normal 8 10 5" xfId="19175" xr:uid="{7A2AD571-981B-4EAC-AA95-96419F21828F}"/>
    <cellStyle name="Normal 8 11" xfId="2625" xr:uid="{00000000-0005-0000-0000-0000EC1B0000}"/>
    <cellStyle name="Normal 8 11 2" xfId="6908" xr:uid="{00000000-0005-0000-0000-0000ED1B0000}"/>
    <cellStyle name="Normal 8 11 2 2" xfId="15358" xr:uid="{6438B765-CE2E-4274-A93F-15F0BEEB123F}"/>
    <cellStyle name="Normal 8 11 2 3" xfId="23805" xr:uid="{E1B1236B-2763-41F4-B62A-A2E402DD3F74}"/>
    <cellStyle name="Normal 8 11 3" xfId="11140" xr:uid="{364B18EA-22F0-4D89-99B5-F3CFA85DF1A3}"/>
    <cellStyle name="Normal 8 11 4" xfId="19588" xr:uid="{1382B031-8EF6-4FF5-87E1-98ECB755260B}"/>
    <cellStyle name="Normal 8 12" xfId="4843" xr:uid="{00000000-0005-0000-0000-0000EE1B0000}"/>
    <cellStyle name="Normal 8 12 2" xfId="13293" xr:uid="{77E1C617-5D75-466C-8927-9263B49E707E}"/>
    <cellStyle name="Normal 8 12 3" xfId="21740" xr:uid="{3A3CE2DD-441C-4C77-A3B6-E58889418194}"/>
    <cellStyle name="Normal 8 13" xfId="9075" xr:uid="{37B50ED3-3FB3-4BA4-9D96-92195C4874A4}"/>
    <cellStyle name="Normal 8 14" xfId="17523" xr:uid="{3C7CA8A5-53AC-40D4-A1C4-99E7E6D9991C}"/>
    <cellStyle name="Normal 8 2" xfId="479" xr:uid="{00000000-0005-0000-0000-0000EF1B0000}"/>
    <cellStyle name="Normal 8 2 10" xfId="2626" xr:uid="{00000000-0005-0000-0000-0000F01B0000}"/>
    <cellStyle name="Normal 8 2 10 2" xfId="6909" xr:uid="{00000000-0005-0000-0000-0000F11B0000}"/>
    <cellStyle name="Normal 8 2 10 2 2" xfId="15359" xr:uid="{65310308-4BAE-4B7E-B387-913AB6424C7C}"/>
    <cellStyle name="Normal 8 2 10 2 3" xfId="23806" xr:uid="{72E405B5-8033-48C8-8C5A-491147718237}"/>
    <cellStyle name="Normal 8 2 10 3" xfId="11141" xr:uid="{088E99C4-0AC3-4761-8FFA-C4AAA3493BFC}"/>
    <cellStyle name="Normal 8 2 10 4" xfId="19589" xr:uid="{61B78C5B-B42D-4E03-9C47-7444885E005E}"/>
    <cellStyle name="Normal 8 2 11" xfId="4844" xr:uid="{00000000-0005-0000-0000-0000F21B0000}"/>
    <cellStyle name="Normal 8 2 11 2" xfId="13294" xr:uid="{B34BA2C0-CABC-49AD-9FEF-A0AD3BA42FA3}"/>
    <cellStyle name="Normal 8 2 11 3" xfId="21741" xr:uid="{B9510942-43C2-40ED-A7E7-3B6C8AD84E57}"/>
    <cellStyle name="Normal 8 2 12" xfId="9076" xr:uid="{4C1FCF5D-52D0-45DA-AABE-96B6B9CAB179}"/>
    <cellStyle name="Normal 8 2 13" xfId="17524" xr:uid="{A27E65FF-7AAF-462A-8119-326AF9B0B6EA}"/>
    <cellStyle name="Normal 8 2 2" xfId="480" xr:uid="{00000000-0005-0000-0000-0000F31B0000}"/>
    <cellStyle name="Normal 8 2 2 10" xfId="4845" xr:uid="{00000000-0005-0000-0000-0000F41B0000}"/>
    <cellStyle name="Normal 8 2 2 10 2" xfId="13295" xr:uid="{0AE098D5-F361-4FA9-BF65-9001509A378B}"/>
    <cellStyle name="Normal 8 2 2 10 3" xfId="21742" xr:uid="{FCE71B04-4642-41EA-8323-2C74D3361561}"/>
    <cellStyle name="Normal 8 2 2 11" xfId="9077" xr:uid="{B05B82E6-79BE-4EAE-BF66-5347C302CA58}"/>
    <cellStyle name="Normal 8 2 2 12" xfId="17525" xr:uid="{3DF719A8-5098-4366-B9B4-E3083E47E928}"/>
    <cellStyle name="Normal 8 2 2 2" xfId="481" xr:uid="{00000000-0005-0000-0000-0000F51B0000}"/>
    <cellStyle name="Normal 8 2 2 2 10" xfId="9078" xr:uid="{87973BE8-A314-492A-95D5-5DCC89D8B0F0}"/>
    <cellStyle name="Normal 8 2 2 2 11" xfId="17526" xr:uid="{6BC6F74C-02EC-4AC1-A7F9-D20A16B5054C}"/>
    <cellStyle name="Normal 8 2 2 2 2" xfId="482" xr:uid="{00000000-0005-0000-0000-0000F61B0000}"/>
    <cellStyle name="Normal 8 2 2 2 2 10" xfId="17527" xr:uid="{0D7A8FF5-57A9-4D46-95E3-806F5F17C566}"/>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2 2 2" xfId="15856" xr:uid="{E6FF8147-80F0-42AC-98F3-F05C2F887167}"/>
    <cellStyle name="Normal 8 2 2 2 2 2 2 2 2 3" xfId="24303" xr:uid="{E052D681-322F-4EB0-A688-9545BFDB7A08}"/>
    <cellStyle name="Normal 8 2 2 2 2 2 2 2 3" xfId="11638" xr:uid="{22DC06ED-388E-43FB-B021-8CDF01698D17}"/>
    <cellStyle name="Normal 8 2 2 2 2 2 2 2 4" xfId="20086" xr:uid="{740552D5-F9CD-4994-9D7B-A3BB3AE87259}"/>
    <cellStyle name="Normal 8 2 2 2 2 2 2 3" xfId="5261" xr:uid="{00000000-0005-0000-0000-0000FB1B0000}"/>
    <cellStyle name="Normal 8 2 2 2 2 2 2 3 2" xfId="13711" xr:uid="{BFE3572D-21AA-41CB-A5E8-0FC75A199992}"/>
    <cellStyle name="Normal 8 2 2 2 2 2 2 3 3" xfId="22158" xr:uid="{6334117B-84AE-4DD3-80A6-ACBA8B13FA5D}"/>
    <cellStyle name="Normal 8 2 2 2 2 2 2 4" xfId="9493" xr:uid="{18EE4529-5999-4293-8648-2B4D2BB7A371}"/>
    <cellStyle name="Normal 8 2 2 2 2 2 2 5" xfId="17941" xr:uid="{FFB27C11-78B9-4EE8-927A-A1AE55DBF4BD}"/>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2 2 2" xfId="16269" xr:uid="{9B0836AD-968B-4DAB-9C25-9F58D93794FE}"/>
    <cellStyle name="Normal 8 2 2 2 2 2 3 2 2 3" xfId="24716" xr:uid="{5090E1B3-4DA5-4550-831D-FCD468705814}"/>
    <cellStyle name="Normal 8 2 2 2 2 2 3 2 3" xfId="12051" xr:uid="{9A1ECB5A-D41E-4E5C-A560-1C0E728D55F9}"/>
    <cellStyle name="Normal 8 2 2 2 2 2 3 2 4" xfId="20499" xr:uid="{C897D465-9621-411E-9D95-D06192A7707B}"/>
    <cellStyle name="Normal 8 2 2 2 2 2 3 3" xfId="5674" xr:uid="{00000000-0005-0000-0000-0000FF1B0000}"/>
    <cellStyle name="Normal 8 2 2 2 2 2 3 3 2" xfId="14124" xr:uid="{14D4975E-4EDA-4ECD-968B-7BE7009CD41C}"/>
    <cellStyle name="Normal 8 2 2 2 2 2 3 3 3" xfId="22571" xr:uid="{F2DDA765-2B7B-4DF0-8472-E8216AE17576}"/>
    <cellStyle name="Normal 8 2 2 2 2 2 3 4" xfId="9906" xr:uid="{FC04368B-1A35-4AD7-8EE2-7D5045653C48}"/>
    <cellStyle name="Normal 8 2 2 2 2 2 3 5" xfId="18354" xr:uid="{496CF433-AEC8-4D67-97F4-1231ADE26542}"/>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2 2 2" xfId="16682" xr:uid="{7547B711-0D55-4F10-87AC-F63C0F8D1278}"/>
    <cellStyle name="Normal 8 2 2 2 2 2 4 2 2 3" xfId="25129" xr:uid="{4C2EAC62-F845-4BF3-9F65-471DCF276CD1}"/>
    <cellStyle name="Normal 8 2 2 2 2 2 4 2 3" xfId="12464" xr:uid="{F257D42E-FA56-47EA-8493-2E8ECE9BB5E1}"/>
    <cellStyle name="Normal 8 2 2 2 2 2 4 2 4" xfId="20912" xr:uid="{E0B355F8-4B19-4DEE-8B2C-2EF42E33569C}"/>
    <cellStyle name="Normal 8 2 2 2 2 2 4 3" xfId="6087" xr:uid="{00000000-0005-0000-0000-0000031C0000}"/>
    <cellStyle name="Normal 8 2 2 2 2 2 4 3 2" xfId="14537" xr:uid="{F5AB7197-021C-4ACB-AF6E-F11207480770}"/>
    <cellStyle name="Normal 8 2 2 2 2 2 4 3 3" xfId="22984" xr:uid="{DB3D662C-677B-4F54-BA7A-77DBF8B64D75}"/>
    <cellStyle name="Normal 8 2 2 2 2 2 4 4" xfId="10319" xr:uid="{BDFA14CA-555E-4C8A-949D-15CF5F68E453}"/>
    <cellStyle name="Normal 8 2 2 2 2 2 4 5" xfId="18767" xr:uid="{251B9D93-7872-431D-8FD9-4A847B8B05B4}"/>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2 2 2" xfId="17095" xr:uid="{E56FF9A3-0A38-428B-AF14-54DE684D4A9B}"/>
    <cellStyle name="Normal 8 2 2 2 2 2 5 2 2 3" xfId="25542" xr:uid="{1DC03240-7572-4835-9432-6DDB57D76EF2}"/>
    <cellStyle name="Normal 8 2 2 2 2 2 5 2 3" xfId="12877" xr:uid="{2B80C0FB-E58C-4BFE-AD89-4DA4F53B929B}"/>
    <cellStyle name="Normal 8 2 2 2 2 2 5 2 4" xfId="21325" xr:uid="{A3F03162-C542-4327-B0C9-66B7924730A5}"/>
    <cellStyle name="Normal 8 2 2 2 2 2 5 3" xfId="6500" xr:uid="{00000000-0005-0000-0000-0000071C0000}"/>
    <cellStyle name="Normal 8 2 2 2 2 2 5 3 2" xfId="14950" xr:uid="{2A2F1B22-7BC8-4201-AC2D-C69C8FADB006}"/>
    <cellStyle name="Normal 8 2 2 2 2 2 5 3 3" xfId="23397" xr:uid="{D20E04D6-4CDE-4A98-9572-47A1F3E59D98}"/>
    <cellStyle name="Normal 8 2 2 2 2 2 5 4" xfId="10732" xr:uid="{F5BA14E9-E398-4187-BB10-57679B4E4D7E}"/>
    <cellStyle name="Normal 8 2 2 2 2 2 5 5" xfId="19180" xr:uid="{D6A66962-5D38-4884-97E3-3AAE65530B9C}"/>
    <cellStyle name="Normal 8 2 2 2 2 2 6" xfId="2630" xr:uid="{00000000-0005-0000-0000-0000081C0000}"/>
    <cellStyle name="Normal 8 2 2 2 2 2 6 2" xfId="6913" xr:uid="{00000000-0005-0000-0000-0000091C0000}"/>
    <cellStyle name="Normal 8 2 2 2 2 2 6 2 2" xfId="15363" xr:uid="{CBF2F506-BFCC-4923-883A-838F15B11B4D}"/>
    <cellStyle name="Normal 8 2 2 2 2 2 6 2 3" xfId="23810" xr:uid="{1ABC64B2-7F3F-4A7D-91A7-6BDDB7160ED2}"/>
    <cellStyle name="Normal 8 2 2 2 2 2 6 3" xfId="11145" xr:uid="{C7727F3D-53A5-45B6-84D0-70BC3E47B355}"/>
    <cellStyle name="Normal 8 2 2 2 2 2 6 4" xfId="19593" xr:uid="{33ABA1E6-C5A6-49C9-833E-AC735559710B}"/>
    <cellStyle name="Normal 8 2 2 2 2 2 7" xfId="4848" xr:uid="{00000000-0005-0000-0000-00000A1C0000}"/>
    <cellStyle name="Normal 8 2 2 2 2 2 7 2" xfId="13298" xr:uid="{F41F3115-1D22-446D-9915-A67E4E400237}"/>
    <cellStyle name="Normal 8 2 2 2 2 2 7 3" xfId="21745" xr:uid="{52F6097C-8D2E-4AED-A21F-DA25F03025E2}"/>
    <cellStyle name="Normal 8 2 2 2 2 2 8" xfId="9080" xr:uid="{B980DF25-BBBA-4ECC-A91A-61C3604874D4}"/>
    <cellStyle name="Normal 8 2 2 2 2 2 9" xfId="17528" xr:uid="{E4370FC7-04AD-407D-8E7F-B7798E72892D}"/>
    <cellStyle name="Normal 8 2 2 2 2 3" xfId="949" xr:uid="{00000000-0005-0000-0000-00000B1C0000}"/>
    <cellStyle name="Normal 8 2 2 2 2 3 2" xfId="3183" xr:uid="{00000000-0005-0000-0000-00000C1C0000}"/>
    <cellStyle name="Normal 8 2 2 2 2 3 2 2" xfId="7405" xr:uid="{00000000-0005-0000-0000-00000D1C0000}"/>
    <cellStyle name="Normal 8 2 2 2 2 3 2 2 2" xfId="15855" xr:uid="{013D6F8E-57FC-402F-A724-639F9C8508C6}"/>
    <cellStyle name="Normal 8 2 2 2 2 3 2 2 3" xfId="24302" xr:uid="{F1AC9C7D-C3AC-4184-B238-E3E251C0EF86}"/>
    <cellStyle name="Normal 8 2 2 2 2 3 2 3" xfId="11637" xr:uid="{72E98C4F-0CED-4AAA-B6FC-CFE691B0AB49}"/>
    <cellStyle name="Normal 8 2 2 2 2 3 2 4" xfId="20085" xr:uid="{80908D95-06E4-4716-B157-D2328DE5C1F7}"/>
    <cellStyle name="Normal 8 2 2 2 2 3 3" xfId="5260" xr:uid="{00000000-0005-0000-0000-00000E1C0000}"/>
    <cellStyle name="Normal 8 2 2 2 2 3 3 2" xfId="13710" xr:uid="{477B7C22-D1F7-48FD-97F7-84B13647A0FF}"/>
    <cellStyle name="Normal 8 2 2 2 2 3 3 3" xfId="22157" xr:uid="{C51F863C-0C4E-44BC-A0F8-BACC0BA01491}"/>
    <cellStyle name="Normal 8 2 2 2 2 3 4" xfId="9492" xr:uid="{694C5731-BBF5-4698-9C5B-1E45FE67458C}"/>
    <cellStyle name="Normal 8 2 2 2 2 3 5" xfId="17940" xr:uid="{6EE5E637-F455-4665-BB13-8EDE18F74FE8}"/>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2 2 2" xfId="16268" xr:uid="{0A52D7E8-3414-438F-8671-1C28D763F62B}"/>
    <cellStyle name="Normal 8 2 2 2 2 4 2 2 3" xfId="24715" xr:uid="{60F34ABC-C4F2-4DBF-8DEC-04B25E230B77}"/>
    <cellStyle name="Normal 8 2 2 2 2 4 2 3" xfId="12050" xr:uid="{34BFCD14-2B7D-4A77-BF70-2E0A981FC3F7}"/>
    <cellStyle name="Normal 8 2 2 2 2 4 2 4" xfId="20498" xr:uid="{A61F77E0-B5C0-43C7-A53E-7696899C48DA}"/>
    <cellStyle name="Normal 8 2 2 2 2 4 3" xfId="5673" xr:uid="{00000000-0005-0000-0000-0000121C0000}"/>
    <cellStyle name="Normal 8 2 2 2 2 4 3 2" xfId="14123" xr:uid="{9F7532A5-CD14-4119-8956-CA4C32E70622}"/>
    <cellStyle name="Normal 8 2 2 2 2 4 3 3" xfId="22570" xr:uid="{E39BFEF6-DE7E-47F9-B2C4-306F7CEAE7CB}"/>
    <cellStyle name="Normal 8 2 2 2 2 4 4" xfId="9905" xr:uid="{6922C756-AC7F-44BA-9AC2-9B105C3BE6F0}"/>
    <cellStyle name="Normal 8 2 2 2 2 4 5" xfId="18353" xr:uid="{338C0139-52DE-4358-B23A-A5D7C3EA67CF}"/>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2 2 2" xfId="16681" xr:uid="{9CA7841D-0530-43DA-AD9D-797E4AE93D78}"/>
    <cellStyle name="Normal 8 2 2 2 2 5 2 2 3" xfId="25128" xr:uid="{EC31EF27-FF59-407E-8E4D-6E5054A5D439}"/>
    <cellStyle name="Normal 8 2 2 2 2 5 2 3" xfId="12463" xr:uid="{FFC40292-810A-41C6-93C4-A6E2BBF05CA3}"/>
    <cellStyle name="Normal 8 2 2 2 2 5 2 4" xfId="20911" xr:uid="{B2FAB32E-D051-452A-8C67-584F00106EDC}"/>
    <cellStyle name="Normal 8 2 2 2 2 5 3" xfId="6086" xr:uid="{00000000-0005-0000-0000-0000161C0000}"/>
    <cellStyle name="Normal 8 2 2 2 2 5 3 2" xfId="14536" xr:uid="{E480F05E-3FFA-4F4A-BDBD-8A5D493E4C78}"/>
    <cellStyle name="Normal 8 2 2 2 2 5 3 3" xfId="22983" xr:uid="{04D3FA27-8250-45F5-8B85-C21D30D7295F}"/>
    <cellStyle name="Normal 8 2 2 2 2 5 4" xfId="10318" xr:uid="{C694BD3C-4898-4E7D-B4AF-6EB872B6384D}"/>
    <cellStyle name="Normal 8 2 2 2 2 5 5" xfId="18766" xr:uid="{C63126D4-AB3F-4F63-92D6-1D9EC3CC8A2A}"/>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2 2 2" xfId="17094" xr:uid="{E48B0090-A92E-465B-BEFB-148E986D4E03}"/>
    <cellStyle name="Normal 8 2 2 2 2 6 2 2 3" xfId="25541" xr:uid="{5838EE3B-B6CA-4246-B85E-CFD843871276}"/>
    <cellStyle name="Normal 8 2 2 2 2 6 2 3" xfId="12876" xr:uid="{9084B88F-B945-4B79-B3F1-84FD24AF9AB7}"/>
    <cellStyle name="Normal 8 2 2 2 2 6 2 4" xfId="21324" xr:uid="{15B14059-090E-435D-A101-75EF60BD5F09}"/>
    <cellStyle name="Normal 8 2 2 2 2 6 3" xfId="6499" xr:uid="{00000000-0005-0000-0000-00001A1C0000}"/>
    <cellStyle name="Normal 8 2 2 2 2 6 3 2" xfId="14949" xr:uid="{66E8BFA9-6704-43B1-8259-48073741820F}"/>
    <cellStyle name="Normal 8 2 2 2 2 6 3 3" xfId="23396" xr:uid="{2AB96ED1-2363-4FAB-9BAB-E50D2460160A}"/>
    <cellStyle name="Normal 8 2 2 2 2 6 4" xfId="10731" xr:uid="{2898703A-5FE3-40D5-B576-671539CC3F7B}"/>
    <cellStyle name="Normal 8 2 2 2 2 6 5" xfId="19179" xr:uid="{A82FBCF7-44B2-4969-87CA-93AFA3763276}"/>
    <cellStyle name="Normal 8 2 2 2 2 7" xfId="2629" xr:uid="{00000000-0005-0000-0000-00001B1C0000}"/>
    <cellStyle name="Normal 8 2 2 2 2 7 2" xfId="6912" xr:uid="{00000000-0005-0000-0000-00001C1C0000}"/>
    <cellStyle name="Normal 8 2 2 2 2 7 2 2" xfId="15362" xr:uid="{16E66528-477D-4B22-AD5B-55ECFB1DCF1B}"/>
    <cellStyle name="Normal 8 2 2 2 2 7 2 3" xfId="23809" xr:uid="{EFC3F004-D113-4AC6-846E-6EF823AEC41B}"/>
    <cellStyle name="Normal 8 2 2 2 2 7 3" xfId="11144" xr:uid="{2DAD9DF1-2221-4F07-9B56-BC7FFD92EF94}"/>
    <cellStyle name="Normal 8 2 2 2 2 7 4" xfId="19592" xr:uid="{47ED76AC-B17A-4382-8B51-E64073858A60}"/>
    <cellStyle name="Normal 8 2 2 2 2 8" xfId="4847" xr:uid="{00000000-0005-0000-0000-00001D1C0000}"/>
    <cellStyle name="Normal 8 2 2 2 2 8 2" xfId="13297" xr:uid="{CD0695EC-55DC-4878-9790-B8BDC814940E}"/>
    <cellStyle name="Normal 8 2 2 2 2 8 3" xfId="21744" xr:uid="{D1F77683-7C98-4046-B4BC-CB18646DBD88}"/>
    <cellStyle name="Normal 8 2 2 2 2 9" xfId="9079" xr:uid="{26A19E56-92DD-416C-8C02-532C31324FDA}"/>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2 2 2" xfId="15857" xr:uid="{E72F3713-BE59-4FBD-9F79-36CF9761D89A}"/>
    <cellStyle name="Normal 8 2 2 2 3 2 2 2 3" xfId="24304" xr:uid="{4D776862-8F0E-42BF-8E72-C0F87F43098C}"/>
    <cellStyle name="Normal 8 2 2 2 3 2 2 3" xfId="11639" xr:uid="{D88381E7-ADF5-4E91-93E7-E1B1CE306F07}"/>
    <cellStyle name="Normal 8 2 2 2 3 2 2 4" xfId="20087" xr:uid="{ACACCB46-ABB9-449F-9A7B-D41E68A243A1}"/>
    <cellStyle name="Normal 8 2 2 2 3 2 3" xfId="5262" xr:uid="{00000000-0005-0000-0000-0000221C0000}"/>
    <cellStyle name="Normal 8 2 2 2 3 2 3 2" xfId="13712" xr:uid="{874AD40D-84DD-4552-A88C-348058200834}"/>
    <cellStyle name="Normal 8 2 2 2 3 2 3 3" xfId="22159" xr:uid="{7CE9E7EF-E7EB-4523-932C-96DB722A4758}"/>
    <cellStyle name="Normal 8 2 2 2 3 2 4" xfId="9494" xr:uid="{36D5B5DA-9251-4696-BFDB-6CA334DCD5ED}"/>
    <cellStyle name="Normal 8 2 2 2 3 2 5" xfId="17942" xr:uid="{650E105F-901B-44DB-BEA9-94527B26E0C6}"/>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2 2 2" xfId="16270" xr:uid="{340FDB37-1667-4413-906C-BDE3679D42D9}"/>
    <cellStyle name="Normal 8 2 2 2 3 3 2 2 3" xfId="24717" xr:uid="{2F05BD2E-35F7-4CD6-81B6-2E4DE3501867}"/>
    <cellStyle name="Normal 8 2 2 2 3 3 2 3" xfId="12052" xr:uid="{5D79DDFF-BCF3-4951-8741-31BDE558E3BB}"/>
    <cellStyle name="Normal 8 2 2 2 3 3 2 4" xfId="20500" xr:uid="{F67784C0-B8EF-4C0F-A4C8-F3186EC9B861}"/>
    <cellStyle name="Normal 8 2 2 2 3 3 3" xfId="5675" xr:uid="{00000000-0005-0000-0000-0000261C0000}"/>
    <cellStyle name="Normal 8 2 2 2 3 3 3 2" xfId="14125" xr:uid="{149AC656-1C1E-48B6-AD10-F16D6D40B944}"/>
    <cellStyle name="Normal 8 2 2 2 3 3 3 3" xfId="22572" xr:uid="{8B7AD7F4-6CCD-4F24-B21A-794DBE709F7E}"/>
    <cellStyle name="Normal 8 2 2 2 3 3 4" xfId="9907" xr:uid="{553086CE-141A-4DCB-9DA4-4CE9C1C4063B}"/>
    <cellStyle name="Normal 8 2 2 2 3 3 5" xfId="18355" xr:uid="{D74E89DD-F651-4B43-8246-366346C8E864}"/>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2 2 2" xfId="16683" xr:uid="{5AAEBAF7-2E22-4866-8109-4EC248591122}"/>
    <cellStyle name="Normal 8 2 2 2 3 4 2 2 3" xfId="25130" xr:uid="{03F1D431-EA1E-45E8-A4AD-BF6F21AA9D88}"/>
    <cellStyle name="Normal 8 2 2 2 3 4 2 3" xfId="12465" xr:uid="{EF495458-E2E5-4951-B6F7-F12765D59748}"/>
    <cellStyle name="Normal 8 2 2 2 3 4 2 4" xfId="20913" xr:uid="{A3723721-44EE-42D7-967E-C19624A0A48B}"/>
    <cellStyle name="Normal 8 2 2 2 3 4 3" xfId="6088" xr:uid="{00000000-0005-0000-0000-00002A1C0000}"/>
    <cellStyle name="Normal 8 2 2 2 3 4 3 2" xfId="14538" xr:uid="{B9233997-5A74-464B-A8DF-38C512DAE015}"/>
    <cellStyle name="Normal 8 2 2 2 3 4 3 3" xfId="22985" xr:uid="{E4AB427A-17F0-4F76-9356-DA703FFAA005}"/>
    <cellStyle name="Normal 8 2 2 2 3 4 4" xfId="10320" xr:uid="{CF70DC3F-8D6B-4075-AD7C-D8896E1076FB}"/>
    <cellStyle name="Normal 8 2 2 2 3 4 5" xfId="18768" xr:uid="{007E2F1F-1D5E-44AD-AF4C-A722501693F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2 2 2" xfId="17096" xr:uid="{A281951C-81C3-45D6-B1E6-72795BB26912}"/>
    <cellStyle name="Normal 8 2 2 2 3 5 2 2 3" xfId="25543" xr:uid="{F5434E8A-EC25-41D9-8030-4296FA33E9B0}"/>
    <cellStyle name="Normal 8 2 2 2 3 5 2 3" xfId="12878" xr:uid="{30166A47-1159-4924-95F7-5D705BDCBF96}"/>
    <cellStyle name="Normal 8 2 2 2 3 5 2 4" xfId="21326" xr:uid="{720FF8B6-4E52-4873-9F58-D80EF94E725E}"/>
    <cellStyle name="Normal 8 2 2 2 3 5 3" xfId="6501" xr:uid="{00000000-0005-0000-0000-00002E1C0000}"/>
    <cellStyle name="Normal 8 2 2 2 3 5 3 2" xfId="14951" xr:uid="{32B4FC5C-1695-491A-B011-97617EF1A09E}"/>
    <cellStyle name="Normal 8 2 2 2 3 5 3 3" xfId="23398" xr:uid="{D612DAC3-0465-483B-860F-98B1ABD3BCA1}"/>
    <cellStyle name="Normal 8 2 2 2 3 5 4" xfId="10733" xr:uid="{A80B6BEE-CC5D-4612-9C3B-3658D94A215A}"/>
    <cellStyle name="Normal 8 2 2 2 3 5 5" xfId="19181" xr:uid="{D950B7FB-A54D-4ED9-B668-C6186160AAB9}"/>
    <cellStyle name="Normal 8 2 2 2 3 6" xfId="2631" xr:uid="{00000000-0005-0000-0000-00002F1C0000}"/>
    <cellStyle name="Normal 8 2 2 2 3 6 2" xfId="6914" xr:uid="{00000000-0005-0000-0000-0000301C0000}"/>
    <cellStyle name="Normal 8 2 2 2 3 6 2 2" xfId="15364" xr:uid="{C70E949A-973E-4B62-BA71-2DE073C87832}"/>
    <cellStyle name="Normal 8 2 2 2 3 6 2 3" xfId="23811" xr:uid="{B8547ED2-BB91-45B6-AE93-E7423E65AAF2}"/>
    <cellStyle name="Normal 8 2 2 2 3 6 3" xfId="11146" xr:uid="{6D02CDCB-78AD-4A3E-B1A8-AB7A7AB9CE3D}"/>
    <cellStyle name="Normal 8 2 2 2 3 6 4" xfId="19594" xr:uid="{4D51048E-9E8A-4B45-8B0F-72B57FB36DE5}"/>
    <cellStyle name="Normal 8 2 2 2 3 7" xfId="4849" xr:uid="{00000000-0005-0000-0000-0000311C0000}"/>
    <cellStyle name="Normal 8 2 2 2 3 7 2" xfId="13299" xr:uid="{C61BD6BD-3C49-47FF-86AA-30FCCB517811}"/>
    <cellStyle name="Normal 8 2 2 2 3 7 3" xfId="21746" xr:uid="{C4D18F16-9B3B-40CF-AC3E-FEC21D472E79}"/>
    <cellStyle name="Normal 8 2 2 2 3 8" xfId="9081" xr:uid="{15294B00-F5BB-4EE3-9B69-C65B5F78A1DA}"/>
    <cellStyle name="Normal 8 2 2 2 3 9" xfId="17529" xr:uid="{A29DC3F4-C025-4839-8CFA-16FAB2148549}"/>
    <cellStyle name="Normal 8 2 2 2 4" xfId="948" xr:uid="{00000000-0005-0000-0000-0000321C0000}"/>
    <cellStyle name="Normal 8 2 2 2 4 2" xfId="3182" xr:uid="{00000000-0005-0000-0000-0000331C0000}"/>
    <cellStyle name="Normal 8 2 2 2 4 2 2" xfId="7404" xr:uid="{00000000-0005-0000-0000-0000341C0000}"/>
    <cellStyle name="Normal 8 2 2 2 4 2 2 2" xfId="15854" xr:uid="{4FB26570-7C6E-4806-8C65-F8E27893DCB6}"/>
    <cellStyle name="Normal 8 2 2 2 4 2 2 3" xfId="24301" xr:uid="{4EEB3C1C-394E-4B09-8212-C1B1BCBFD628}"/>
    <cellStyle name="Normal 8 2 2 2 4 2 3" xfId="11636" xr:uid="{74644191-FBBE-4045-876B-18455D26112A}"/>
    <cellStyle name="Normal 8 2 2 2 4 2 4" xfId="20084" xr:uid="{60C60317-43B7-4EFE-998B-2E68A41FB5DA}"/>
    <cellStyle name="Normal 8 2 2 2 4 3" xfId="5259" xr:uid="{00000000-0005-0000-0000-0000351C0000}"/>
    <cellStyle name="Normal 8 2 2 2 4 3 2" xfId="13709" xr:uid="{C448D74D-B5F5-49EF-A48B-D62FFE98A555}"/>
    <cellStyle name="Normal 8 2 2 2 4 3 3" xfId="22156" xr:uid="{04ED29D8-416C-46A0-B136-2C46C73DAC33}"/>
    <cellStyle name="Normal 8 2 2 2 4 4" xfId="9491" xr:uid="{BBF5C332-339E-40EF-B342-93CC172BE4F5}"/>
    <cellStyle name="Normal 8 2 2 2 4 5" xfId="17939" xr:uid="{1FA75D5A-00EE-4CF0-A5D6-C2621879408D}"/>
    <cellStyle name="Normal 8 2 2 2 5" xfId="1365" xr:uid="{00000000-0005-0000-0000-0000361C0000}"/>
    <cellStyle name="Normal 8 2 2 2 5 2" xfId="3595" xr:uid="{00000000-0005-0000-0000-0000371C0000}"/>
    <cellStyle name="Normal 8 2 2 2 5 2 2" xfId="7817" xr:uid="{00000000-0005-0000-0000-0000381C0000}"/>
    <cellStyle name="Normal 8 2 2 2 5 2 2 2" xfId="16267" xr:uid="{15008C59-B8C4-4E23-9813-F2EE42B2656F}"/>
    <cellStyle name="Normal 8 2 2 2 5 2 2 3" xfId="24714" xr:uid="{6BF5D4FE-D6CC-4C12-B0DB-3CF3469BF566}"/>
    <cellStyle name="Normal 8 2 2 2 5 2 3" xfId="12049" xr:uid="{ABDEC266-78C1-4159-9A37-0FA5812CBFBA}"/>
    <cellStyle name="Normal 8 2 2 2 5 2 4" xfId="20497" xr:uid="{BF2EBB6A-6219-4C29-B30B-9BDB5B7D6D89}"/>
    <cellStyle name="Normal 8 2 2 2 5 3" xfId="5672" xr:uid="{00000000-0005-0000-0000-0000391C0000}"/>
    <cellStyle name="Normal 8 2 2 2 5 3 2" xfId="14122" xr:uid="{E2830FA0-8557-4C19-A819-D8E3E07DB7C3}"/>
    <cellStyle name="Normal 8 2 2 2 5 3 3" xfId="22569" xr:uid="{4C4C95BC-388B-4351-9D1E-10AC8473D9FB}"/>
    <cellStyle name="Normal 8 2 2 2 5 4" xfId="9904" xr:uid="{FE8ACD69-ED73-4862-A5BE-68DBB7902538}"/>
    <cellStyle name="Normal 8 2 2 2 5 5" xfId="18352" xr:uid="{7604D593-1C18-472C-B84A-A404B12A5B80}"/>
    <cellStyle name="Normal 8 2 2 2 6" xfId="1778" xr:uid="{00000000-0005-0000-0000-00003A1C0000}"/>
    <cellStyle name="Normal 8 2 2 2 6 2" xfId="4008" xr:uid="{00000000-0005-0000-0000-00003B1C0000}"/>
    <cellStyle name="Normal 8 2 2 2 6 2 2" xfId="8230" xr:uid="{00000000-0005-0000-0000-00003C1C0000}"/>
    <cellStyle name="Normal 8 2 2 2 6 2 2 2" xfId="16680" xr:uid="{79298651-BF24-4C3A-A2F4-2E4563480427}"/>
    <cellStyle name="Normal 8 2 2 2 6 2 2 3" xfId="25127" xr:uid="{CC76AF30-885F-4D24-A2CA-BE65359BA7B0}"/>
    <cellStyle name="Normal 8 2 2 2 6 2 3" xfId="12462" xr:uid="{4784AFC9-5C44-45AD-949E-CF802E8F3874}"/>
    <cellStyle name="Normal 8 2 2 2 6 2 4" xfId="20910" xr:uid="{C6679073-0A96-4EBA-BE08-829891ACF874}"/>
    <cellStyle name="Normal 8 2 2 2 6 3" xfId="6085" xr:uid="{00000000-0005-0000-0000-00003D1C0000}"/>
    <cellStyle name="Normal 8 2 2 2 6 3 2" xfId="14535" xr:uid="{EE1C5B35-5DAE-4542-A8DB-7DEF7176E4B6}"/>
    <cellStyle name="Normal 8 2 2 2 6 3 3" xfId="22982" xr:uid="{F677A426-1C2F-43B4-B3B2-8264AD64DD3D}"/>
    <cellStyle name="Normal 8 2 2 2 6 4" xfId="10317" xr:uid="{70EB47BF-3861-49C4-BCC8-442542206574}"/>
    <cellStyle name="Normal 8 2 2 2 6 5" xfId="18765" xr:uid="{6E2ED6D5-F7F5-4807-BA25-7F4DA1BEAD13}"/>
    <cellStyle name="Normal 8 2 2 2 7" xfId="2192" xr:uid="{00000000-0005-0000-0000-00003E1C0000}"/>
    <cellStyle name="Normal 8 2 2 2 7 2" xfId="4421" xr:uid="{00000000-0005-0000-0000-00003F1C0000}"/>
    <cellStyle name="Normal 8 2 2 2 7 2 2" xfId="8643" xr:uid="{00000000-0005-0000-0000-0000401C0000}"/>
    <cellStyle name="Normal 8 2 2 2 7 2 2 2" xfId="17093" xr:uid="{CFD800F3-70E8-4E22-BA48-1E27A3AA899B}"/>
    <cellStyle name="Normal 8 2 2 2 7 2 2 3" xfId="25540" xr:uid="{EE903F7E-1BBA-413E-9E92-E86DC8B473F8}"/>
    <cellStyle name="Normal 8 2 2 2 7 2 3" xfId="12875" xr:uid="{5CC08C4D-BA92-448C-A7BE-6357DEA31E54}"/>
    <cellStyle name="Normal 8 2 2 2 7 2 4" xfId="21323" xr:uid="{19D20BC8-D094-4C9D-AD60-0A10E20B11F3}"/>
    <cellStyle name="Normal 8 2 2 2 7 3" xfId="6498" xr:uid="{00000000-0005-0000-0000-0000411C0000}"/>
    <cellStyle name="Normal 8 2 2 2 7 3 2" xfId="14948" xr:uid="{F135A6F7-A28C-4AD6-9A9B-0559F579B565}"/>
    <cellStyle name="Normal 8 2 2 2 7 3 3" xfId="23395" xr:uid="{9B098E16-62CB-4B63-A0A9-0B0222DD1C16}"/>
    <cellStyle name="Normal 8 2 2 2 7 4" xfId="10730" xr:uid="{1DBCEB22-C361-4232-97EC-37CA50E1931E}"/>
    <cellStyle name="Normal 8 2 2 2 7 5" xfId="19178" xr:uid="{47F4DF96-1053-43D3-8A29-A40D30733F8F}"/>
    <cellStyle name="Normal 8 2 2 2 8" xfId="2628" xr:uid="{00000000-0005-0000-0000-0000421C0000}"/>
    <cellStyle name="Normal 8 2 2 2 8 2" xfId="6911" xr:uid="{00000000-0005-0000-0000-0000431C0000}"/>
    <cellStyle name="Normal 8 2 2 2 8 2 2" xfId="15361" xr:uid="{5A6C2C18-2BA5-4CB4-A15F-6C689B65791D}"/>
    <cellStyle name="Normal 8 2 2 2 8 2 3" xfId="23808" xr:uid="{0323184D-66E5-40F7-B892-42081D46CB32}"/>
    <cellStyle name="Normal 8 2 2 2 8 3" xfId="11143" xr:uid="{42DA5FD7-A34B-408F-AC8B-20D1EBEC02B0}"/>
    <cellStyle name="Normal 8 2 2 2 8 4" xfId="19591" xr:uid="{E79F8FF2-42AF-4AD6-BADA-BFCE4DA47858}"/>
    <cellStyle name="Normal 8 2 2 2 9" xfId="4846" xr:uid="{00000000-0005-0000-0000-0000441C0000}"/>
    <cellStyle name="Normal 8 2 2 2 9 2" xfId="13296" xr:uid="{011C2EDA-145B-48E3-9B6E-AB1BA88FCD39}"/>
    <cellStyle name="Normal 8 2 2 2 9 3" xfId="21743" xr:uid="{127D529E-7F18-4945-A943-D9FFAF8645D0}"/>
    <cellStyle name="Normal 8 2 2 3" xfId="485" xr:uid="{00000000-0005-0000-0000-0000451C0000}"/>
    <cellStyle name="Normal 8 2 2 3 10" xfId="17530" xr:uid="{3EEAF52D-0D63-43F3-BFA9-9AAD2D48DF76}"/>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2 2 2" xfId="15859" xr:uid="{528D6D2F-AD4A-43F3-B2FA-4379C2771926}"/>
    <cellStyle name="Normal 8 2 2 3 2 2 2 2 3" xfId="24306" xr:uid="{DC815AB3-C023-4306-B5D8-2599EE5532BC}"/>
    <cellStyle name="Normal 8 2 2 3 2 2 2 3" xfId="11641" xr:uid="{90290901-F13F-4C8B-995D-F5BCB157F143}"/>
    <cellStyle name="Normal 8 2 2 3 2 2 2 4" xfId="20089" xr:uid="{10DEE7EF-BC26-43A5-9DD0-06190CA2CED2}"/>
    <cellStyle name="Normal 8 2 2 3 2 2 3" xfId="5264" xr:uid="{00000000-0005-0000-0000-00004A1C0000}"/>
    <cellStyle name="Normal 8 2 2 3 2 2 3 2" xfId="13714" xr:uid="{9F716282-3875-47AD-9394-A26534B36C93}"/>
    <cellStyle name="Normal 8 2 2 3 2 2 3 3" xfId="22161" xr:uid="{0FF0ACDE-73EA-4C8A-B8CE-EBE556AAC06F}"/>
    <cellStyle name="Normal 8 2 2 3 2 2 4" xfId="9496" xr:uid="{A4B95875-E2DA-44DA-BB3C-85D32F2EC5D9}"/>
    <cellStyle name="Normal 8 2 2 3 2 2 5" xfId="17944" xr:uid="{7071DCAA-EA2B-4DE9-9468-5C6D5C41AD11}"/>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2 2 2" xfId="16272" xr:uid="{99A68458-903B-43A1-8102-3D70A8E4375C}"/>
    <cellStyle name="Normal 8 2 2 3 2 3 2 2 3" xfId="24719" xr:uid="{6734B5AA-AF75-4E75-BD33-5271F75541D6}"/>
    <cellStyle name="Normal 8 2 2 3 2 3 2 3" xfId="12054" xr:uid="{E1A9E2CB-DBF7-4E7E-BDC6-FAAC028F09CE}"/>
    <cellStyle name="Normal 8 2 2 3 2 3 2 4" xfId="20502" xr:uid="{9986EB13-DC88-46E5-B197-A847D5FA5B22}"/>
    <cellStyle name="Normal 8 2 2 3 2 3 3" xfId="5677" xr:uid="{00000000-0005-0000-0000-00004E1C0000}"/>
    <cellStyle name="Normal 8 2 2 3 2 3 3 2" xfId="14127" xr:uid="{858E775E-7C35-4BB1-ADE4-BABF2D52BBB9}"/>
    <cellStyle name="Normal 8 2 2 3 2 3 3 3" xfId="22574" xr:uid="{536373A9-CCBC-483A-921D-09D71644B171}"/>
    <cellStyle name="Normal 8 2 2 3 2 3 4" xfId="9909" xr:uid="{694D1804-BD3D-4076-BB94-178EC2E55961}"/>
    <cellStyle name="Normal 8 2 2 3 2 3 5" xfId="18357" xr:uid="{25DE5F80-C776-4092-967A-1DA65944456D}"/>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2 2 2" xfId="16685" xr:uid="{C72A8EB1-6D70-452D-ABF0-91E1B2456B7E}"/>
    <cellStyle name="Normal 8 2 2 3 2 4 2 2 3" xfId="25132" xr:uid="{20AF87BD-DFC3-45F0-806D-B523613F832A}"/>
    <cellStyle name="Normal 8 2 2 3 2 4 2 3" xfId="12467" xr:uid="{1BF4B37A-027C-4CE7-802A-1BEFB4155EA5}"/>
    <cellStyle name="Normal 8 2 2 3 2 4 2 4" xfId="20915" xr:uid="{B0DC4185-9D0A-4F84-9BB3-B28A404B3648}"/>
    <cellStyle name="Normal 8 2 2 3 2 4 3" xfId="6090" xr:uid="{00000000-0005-0000-0000-0000521C0000}"/>
    <cellStyle name="Normal 8 2 2 3 2 4 3 2" xfId="14540" xr:uid="{23130A6D-FA4A-4555-894D-09BD5BDA358C}"/>
    <cellStyle name="Normal 8 2 2 3 2 4 3 3" xfId="22987" xr:uid="{224DCE54-962F-4830-AE93-2B258AC27592}"/>
    <cellStyle name="Normal 8 2 2 3 2 4 4" xfId="10322" xr:uid="{23FA236F-3303-4262-B02C-97AE24E6528A}"/>
    <cellStyle name="Normal 8 2 2 3 2 4 5" xfId="18770" xr:uid="{6876293E-86C9-4AAB-833C-8A822F1A7FD4}"/>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2 2 2" xfId="17098" xr:uid="{BCDD023A-4C27-4403-A729-2A14070FE80D}"/>
    <cellStyle name="Normal 8 2 2 3 2 5 2 2 3" xfId="25545" xr:uid="{38E9F6FF-9980-4CBE-BE9F-8D0FE8C584CD}"/>
    <cellStyle name="Normal 8 2 2 3 2 5 2 3" xfId="12880" xr:uid="{AAFC7B3F-B365-459D-B855-B7C68E30450A}"/>
    <cellStyle name="Normal 8 2 2 3 2 5 2 4" xfId="21328" xr:uid="{5A21A7A5-80D6-4976-AF67-3B24C39A39DE}"/>
    <cellStyle name="Normal 8 2 2 3 2 5 3" xfId="6503" xr:uid="{00000000-0005-0000-0000-0000561C0000}"/>
    <cellStyle name="Normal 8 2 2 3 2 5 3 2" xfId="14953" xr:uid="{C2AD81AC-8878-48B4-BAC2-6C978D7A671A}"/>
    <cellStyle name="Normal 8 2 2 3 2 5 3 3" xfId="23400" xr:uid="{70A06F79-37DB-4A0C-A729-AF7302936CE6}"/>
    <cellStyle name="Normal 8 2 2 3 2 5 4" xfId="10735" xr:uid="{66D5AA2F-C942-46E3-B4AE-153755B9CFD0}"/>
    <cellStyle name="Normal 8 2 2 3 2 5 5" xfId="19183" xr:uid="{36568AE0-16ED-424F-919F-1B77D50B5257}"/>
    <cellStyle name="Normal 8 2 2 3 2 6" xfId="2633" xr:uid="{00000000-0005-0000-0000-0000571C0000}"/>
    <cellStyle name="Normal 8 2 2 3 2 6 2" xfId="6916" xr:uid="{00000000-0005-0000-0000-0000581C0000}"/>
    <cellStyle name="Normal 8 2 2 3 2 6 2 2" xfId="15366" xr:uid="{00E32E84-AD97-40EE-9B8E-095983AC9D38}"/>
    <cellStyle name="Normal 8 2 2 3 2 6 2 3" xfId="23813" xr:uid="{B7BE0B8F-A194-4506-944C-1C13618CABFC}"/>
    <cellStyle name="Normal 8 2 2 3 2 6 3" xfId="11148" xr:uid="{13330355-5DCF-4509-B6F6-8E1EEFC254E6}"/>
    <cellStyle name="Normal 8 2 2 3 2 6 4" xfId="19596" xr:uid="{B3C0B38E-B7F3-4C24-AE7B-061AD7C2A8D6}"/>
    <cellStyle name="Normal 8 2 2 3 2 7" xfId="4851" xr:uid="{00000000-0005-0000-0000-0000591C0000}"/>
    <cellStyle name="Normal 8 2 2 3 2 7 2" xfId="13301" xr:uid="{8B5EE838-8543-4752-87CB-1378D424F590}"/>
    <cellStyle name="Normal 8 2 2 3 2 7 3" xfId="21748" xr:uid="{607C7248-DE55-46F3-AF3C-77DCE1BA71A6}"/>
    <cellStyle name="Normal 8 2 2 3 2 8" xfId="9083" xr:uid="{F10538B3-3214-400C-8DD6-909A125BC2DC}"/>
    <cellStyle name="Normal 8 2 2 3 2 9" xfId="17531" xr:uid="{80905224-B3F1-4F0F-BA58-5192F158CD7B}"/>
    <cellStyle name="Normal 8 2 2 3 3" xfId="952" xr:uid="{00000000-0005-0000-0000-00005A1C0000}"/>
    <cellStyle name="Normal 8 2 2 3 3 2" xfId="3186" xr:uid="{00000000-0005-0000-0000-00005B1C0000}"/>
    <cellStyle name="Normal 8 2 2 3 3 2 2" xfId="7408" xr:uid="{00000000-0005-0000-0000-00005C1C0000}"/>
    <cellStyle name="Normal 8 2 2 3 3 2 2 2" xfId="15858" xr:uid="{2F6C47F2-F33D-4757-A55A-DCFD02BED2F3}"/>
    <cellStyle name="Normal 8 2 2 3 3 2 2 3" xfId="24305" xr:uid="{FA164521-25E4-49D2-8AA2-7C13C2A4271D}"/>
    <cellStyle name="Normal 8 2 2 3 3 2 3" xfId="11640" xr:uid="{481C1707-9E23-4508-A775-B19F7CE35008}"/>
    <cellStyle name="Normal 8 2 2 3 3 2 4" xfId="20088" xr:uid="{E596ADDB-174B-41F6-9E9E-F89757C84DCB}"/>
    <cellStyle name="Normal 8 2 2 3 3 3" xfId="5263" xr:uid="{00000000-0005-0000-0000-00005D1C0000}"/>
    <cellStyle name="Normal 8 2 2 3 3 3 2" xfId="13713" xr:uid="{24D75FCA-5E17-4EA6-9CD3-B3E586467CFB}"/>
    <cellStyle name="Normal 8 2 2 3 3 3 3" xfId="22160" xr:uid="{05AE6B15-E28B-4C6C-9261-7C1706624882}"/>
    <cellStyle name="Normal 8 2 2 3 3 4" xfId="9495" xr:uid="{5CFCE246-55E9-4C96-95DE-C10FDD6B5CC7}"/>
    <cellStyle name="Normal 8 2 2 3 3 5" xfId="17943" xr:uid="{CC412340-80D1-4EBE-AF64-A1E929E9E471}"/>
    <cellStyle name="Normal 8 2 2 3 4" xfId="1369" xr:uid="{00000000-0005-0000-0000-00005E1C0000}"/>
    <cellStyle name="Normal 8 2 2 3 4 2" xfId="3599" xr:uid="{00000000-0005-0000-0000-00005F1C0000}"/>
    <cellStyle name="Normal 8 2 2 3 4 2 2" xfId="7821" xr:uid="{00000000-0005-0000-0000-0000601C0000}"/>
    <cellStyle name="Normal 8 2 2 3 4 2 2 2" xfId="16271" xr:uid="{2DAEFA63-FD6E-49FE-996E-2D2BB63B4609}"/>
    <cellStyle name="Normal 8 2 2 3 4 2 2 3" xfId="24718" xr:uid="{4BF500F7-5C90-4618-B621-000C1B707345}"/>
    <cellStyle name="Normal 8 2 2 3 4 2 3" xfId="12053" xr:uid="{79E80BFA-17C0-46A1-ADD9-345B8CEB5F76}"/>
    <cellStyle name="Normal 8 2 2 3 4 2 4" xfId="20501" xr:uid="{2DFEF6F1-EB53-4C6C-81A6-FBC23471BEE5}"/>
    <cellStyle name="Normal 8 2 2 3 4 3" xfId="5676" xr:uid="{00000000-0005-0000-0000-0000611C0000}"/>
    <cellStyle name="Normal 8 2 2 3 4 3 2" xfId="14126" xr:uid="{EE913C10-EE2A-47DA-AC0B-665D6FF24ED0}"/>
    <cellStyle name="Normal 8 2 2 3 4 3 3" xfId="22573" xr:uid="{F25161EA-EA3F-411E-BAFA-69E2659ABB45}"/>
    <cellStyle name="Normal 8 2 2 3 4 4" xfId="9908" xr:uid="{7E9BC9CB-688C-4D74-8D3A-EF8C8275EFE5}"/>
    <cellStyle name="Normal 8 2 2 3 4 5" xfId="18356" xr:uid="{7C0559BF-7318-4927-888C-3475E75D1A93}"/>
    <cellStyle name="Normal 8 2 2 3 5" xfId="1782" xr:uid="{00000000-0005-0000-0000-0000621C0000}"/>
    <cellStyle name="Normal 8 2 2 3 5 2" xfId="4012" xr:uid="{00000000-0005-0000-0000-0000631C0000}"/>
    <cellStyle name="Normal 8 2 2 3 5 2 2" xfId="8234" xr:uid="{00000000-0005-0000-0000-0000641C0000}"/>
    <cellStyle name="Normal 8 2 2 3 5 2 2 2" xfId="16684" xr:uid="{0AE24B5B-74E5-4C96-BB0F-F56F99A9B870}"/>
    <cellStyle name="Normal 8 2 2 3 5 2 2 3" xfId="25131" xr:uid="{F50A3457-3E14-4EAA-9925-793EA10F5DB6}"/>
    <cellStyle name="Normal 8 2 2 3 5 2 3" xfId="12466" xr:uid="{2123C38F-D89B-40DE-81DE-4BDA2A70DA28}"/>
    <cellStyle name="Normal 8 2 2 3 5 2 4" xfId="20914" xr:uid="{E7EAEDFB-AAA6-4E9E-B30C-2C2F1E3A98B4}"/>
    <cellStyle name="Normal 8 2 2 3 5 3" xfId="6089" xr:uid="{00000000-0005-0000-0000-0000651C0000}"/>
    <cellStyle name="Normal 8 2 2 3 5 3 2" xfId="14539" xr:uid="{6F641B93-B77C-4329-B9C0-3F2C84CEA227}"/>
    <cellStyle name="Normal 8 2 2 3 5 3 3" xfId="22986" xr:uid="{D61A1263-2A1C-4554-BD14-2785D2622D4F}"/>
    <cellStyle name="Normal 8 2 2 3 5 4" xfId="10321" xr:uid="{0B4B7ABC-A20C-4108-8451-C3720F5DEBCA}"/>
    <cellStyle name="Normal 8 2 2 3 5 5" xfId="18769" xr:uid="{C5E9C567-F56E-407E-84BB-E47739CB51D6}"/>
    <cellStyle name="Normal 8 2 2 3 6" xfId="2196" xr:uid="{00000000-0005-0000-0000-0000661C0000}"/>
    <cellStyle name="Normal 8 2 2 3 6 2" xfId="4425" xr:uid="{00000000-0005-0000-0000-0000671C0000}"/>
    <cellStyle name="Normal 8 2 2 3 6 2 2" xfId="8647" xr:uid="{00000000-0005-0000-0000-0000681C0000}"/>
    <cellStyle name="Normal 8 2 2 3 6 2 2 2" xfId="17097" xr:uid="{D49F81DC-844F-490D-B8D8-F4DD8245F133}"/>
    <cellStyle name="Normal 8 2 2 3 6 2 2 3" xfId="25544" xr:uid="{3C4B1526-38D6-4AAE-9315-21F56D1B2736}"/>
    <cellStyle name="Normal 8 2 2 3 6 2 3" xfId="12879" xr:uid="{33771EB3-521C-4469-B31B-3876E1D0752D}"/>
    <cellStyle name="Normal 8 2 2 3 6 2 4" xfId="21327" xr:uid="{5B29FBC7-4797-4636-A50C-89545DB04A23}"/>
    <cellStyle name="Normal 8 2 2 3 6 3" xfId="6502" xr:uid="{00000000-0005-0000-0000-0000691C0000}"/>
    <cellStyle name="Normal 8 2 2 3 6 3 2" xfId="14952" xr:uid="{3EDE2345-A130-4190-99DB-8DCEA5407499}"/>
    <cellStyle name="Normal 8 2 2 3 6 3 3" xfId="23399" xr:uid="{AB66DA9A-6539-4B23-8455-3A515500F55C}"/>
    <cellStyle name="Normal 8 2 2 3 6 4" xfId="10734" xr:uid="{791165C2-2832-4A1C-B3E2-37111F09555E}"/>
    <cellStyle name="Normal 8 2 2 3 6 5" xfId="19182" xr:uid="{61C83E9A-56A8-49B5-9D4F-9DE6EF03D799}"/>
    <cellStyle name="Normal 8 2 2 3 7" xfId="2632" xr:uid="{00000000-0005-0000-0000-00006A1C0000}"/>
    <cellStyle name="Normal 8 2 2 3 7 2" xfId="6915" xr:uid="{00000000-0005-0000-0000-00006B1C0000}"/>
    <cellStyle name="Normal 8 2 2 3 7 2 2" xfId="15365" xr:uid="{3C7D4471-5E5F-4E22-97C9-85F67ECF3A20}"/>
    <cellStyle name="Normal 8 2 2 3 7 2 3" xfId="23812" xr:uid="{DD465B10-B2C5-47D4-8782-AAD7374E2217}"/>
    <cellStyle name="Normal 8 2 2 3 7 3" xfId="11147" xr:uid="{74B035DC-160E-4DD1-ACEE-EB16EEA35D5D}"/>
    <cellStyle name="Normal 8 2 2 3 7 4" xfId="19595" xr:uid="{6BF3C839-39B4-4679-8CFE-929B0A158458}"/>
    <cellStyle name="Normal 8 2 2 3 8" xfId="4850" xr:uid="{00000000-0005-0000-0000-00006C1C0000}"/>
    <cellStyle name="Normal 8 2 2 3 8 2" xfId="13300" xr:uid="{369ABC5A-B783-46AC-BE4A-071D9ED14B06}"/>
    <cellStyle name="Normal 8 2 2 3 8 3" xfId="21747" xr:uid="{FE6C085F-5FA3-427A-9289-5617B50A05D1}"/>
    <cellStyle name="Normal 8 2 2 3 9" xfId="9082" xr:uid="{FAFB703A-6F96-4DE6-A9DA-6DA11317E6A6}"/>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2 2 2" xfId="15860" xr:uid="{73F6B04D-C79F-4D04-97E6-8D1BC97B8C11}"/>
    <cellStyle name="Normal 8 2 2 4 2 2 2 3" xfId="24307" xr:uid="{C6CFD053-DDBC-407B-A093-F7197C84EA90}"/>
    <cellStyle name="Normal 8 2 2 4 2 2 3" xfId="11642" xr:uid="{D66CD027-8B63-42C7-A2A5-E6F11E72E20E}"/>
    <cellStyle name="Normal 8 2 2 4 2 2 4" xfId="20090" xr:uid="{D22E1E8A-9A93-4D3A-8B64-458CB1E9F624}"/>
    <cellStyle name="Normal 8 2 2 4 2 3" xfId="5265" xr:uid="{00000000-0005-0000-0000-0000711C0000}"/>
    <cellStyle name="Normal 8 2 2 4 2 3 2" xfId="13715" xr:uid="{204ECB08-5DB6-4393-8CF7-DD479B4A7DED}"/>
    <cellStyle name="Normal 8 2 2 4 2 3 3" xfId="22162" xr:uid="{EF225FBD-C206-4F07-84B8-8BF4DD7A704F}"/>
    <cellStyle name="Normal 8 2 2 4 2 4" xfId="9497" xr:uid="{C3E19DAA-01E0-4EF9-9D13-9C0C986A3BC0}"/>
    <cellStyle name="Normal 8 2 2 4 2 5" xfId="17945" xr:uid="{4FD818DD-83AC-49CE-89F5-264DA89F461C}"/>
    <cellStyle name="Normal 8 2 2 4 3" xfId="1371" xr:uid="{00000000-0005-0000-0000-0000721C0000}"/>
    <cellStyle name="Normal 8 2 2 4 3 2" xfId="3601" xr:uid="{00000000-0005-0000-0000-0000731C0000}"/>
    <cellStyle name="Normal 8 2 2 4 3 2 2" xfId="7823" xr:uid="{00000000-0005-0000-0000-0000741C0000}"/>
    <cellStyle name="Normal 8 2 2 4 3 2 2 2" xfId="16273" xr:uid="{90461EFD-6E69-4402-B382-1057A6CEBA2E}"/>
    <cellStyle name="Normal 8 2 2 4 3 2 2 3" xfId="24720" xr:uid="{1FF72E23-6D72-435E-A731-4ED04BD14243}"/>
    <cellStyle name="Normal 8 2 2 4 3 2 3" xfId="12055" xr:uid="{0681BE26-852D-4724-AAA2-FEC4ABA0AF96}"/>
    <cellStyle name="Normal 8 2 2 4 3 2 4" xfId="20503" xr:uid="{FC495EA5-75D9-4F34-AFB9-9FAEC3BD9922}"/>
    <cellStyle name="Normal 8 2 2 4 3 3" xfId="5678" xr:uid="{00000000-0005-0000-0000-0000751C0000}"/>
    <cellStyle name="Normal 8 2 2 4 3 3 2" xfId="14128" xr:uid="{98C4132C-8213-4AC6-AEE0-8DE33B09E7AD}"/>
    <cellStyle name="Normal 8 2 2 4 3 3 3" xfId="22575" xr:uid="{76CDDD89-99A6-43B2-BF6F-567C2614C0E0}"/>
    <cellStyle name="Normal 8 2 2 4 3 4" xfId="9910" xr:uid="{3E3BB55D-7302-4EFA-A25D-EC79866BBC14}"/>
    <cellStyle name="Normal 8 2 2 4 3 5" xfId="18358" xr:uid="{6B23ECE6-8EC0-4523-8C03-0BD6B14E6FD9}"/>
    <cellStyle name="Normal 8 2 2 4 4" xfId="1784" xr:uid="{00000000-0005-0000-0000-0000761C0000}"/>
    <cellStyle name="Normal 8 2 2 4 4 2" xfId="4014" xr:uid="{00000000-0005-0000-0000-0000771C0000}"/>
    <cellStyle name="Normal 8 2 2 4 4 2 2" xfId="8236" xr:uid="{00000000-0005-0000-0000-0000781C0000}"/>
    <cellStyle name="Normal 8 2 2 4 4 2 2 2" xfId="16686" xr:uid="{B69D93FF-2D64-4200-A44D-B8BBA543FB64}"/>
    <cellStyle name="Normal 8 2 2 4 4 2 2 3" xfId="25133" xr:uid="{5E26F358-4118-4694-BB1D-559F0D276A34}"/>
    <cellStyle name="Normal 8 2 2 4 4 2 3" xfId="12468" xr:uid="{A8CE142B-A4A6-4FCC-99D0-E4B346640AD7}"/>
    <cellStyle name="Normal 8 2 2 4 4 2 4" xfId="20916" xr:uid="{868E1803-3FCD-4EF4-BE81-AFB945DE0D58}"/>
    <cellStyle name="Normal 8 2 2 4 4 3" xfId="6091" xr:uid="{00000000-0005-0000-0000-0000791C0000}"/>
    <cellStyle name="Normal 8 2 2 4 4 3 2" xfId="14541" xr:uid="{F00E4E43-8716-4552-8EE7-9DAAEFBFB63F}"/>
    <cellStyle name="Normal 8 2 2 4 4 3 3" xfId="22988" xr:uid="{AA09313F-1E9B-4873-9761-A74DE7223D3F}"/>
    <cellStyle name="Normal 8 2 2 4 4 4" xfId="10323" xr:uid="{2D567F85-6477-4CB3-995F-C468E573930E}"/>
    <cellStyle name="Normal 8 2 2 4 4 5" xfId="18771" xr:uid="{9EF46FA3-CB9E-4C20-8CFB-40F6268910F6}"/>
    <cellStyle name="Normal 8 2 2 4 5" xfId="2198" xr:uid="{00000000-0005-0000-0000-00007A1C0000}"/>
    <cellStyle name="Normal 8 2 2 4 5 2" xfId="4427" xr:uid="{00000000-0005-0000-0000-00007B1C0000}"/>
    <cellStyle name="Normal 8 2 2 4 5 2 2" xfId="8649" xr:uid="{00000000-0005-0000-0000-00007C1C0000}"/>
    <cellStyle name="Normal 8 2 2 4 5 2 2 2" xfId="17099" xr:uid="{A9EEBABF-42E7-414C-818A-0A056953143B}"/>
    <cellStyle name="Normal 8 2 2 4 5 2 2 3" xfId="25546" xr:uid="{34CD4F87-DB5A-4236-B648-58B26B2968B3}"/>
    <cellStyle name="Normal 8 2 2 4 5 2 3" xfId="12881" xr:uid="{FF2EC605-F5BF-4C58-BEDA-F3FCE29A6355}"/>
    <cellStyle name="Normal 8 2 2 4 5 2 4" xfId="21329" xr:uid="{3E655D66-B09A-4A07-887D-D2815B15F523}"/>
    <cellStyle name="Normal 8 2 2 4 5 3" xfId="6504" xr:uid="{00000000-0005-0000-0000-00007D1C0000}"/>
    <cellStyle name="Normal 8 2 2 4 5 3 2" xfId="14954" xr:uid="{7D01785B-99E9-4ABA-9494-8F5BA24F6637}"/>
    <cellStyle name="Normal 8 2 2 4 5 3 3" xfId="23401" xr:uid="{FF0C029A-ED78-4AEC-82D4-AD18C7A5952E}"/>
    <cellStyle name="Normal 8 2 2 4 5 4" xfId="10736" xr:uid="{8B1AF319-2BBC-4462-B0A1-85DF0BAB3345}"/>
    <cellStyle name="Normal 8 2 2 4 5 5" xfId="19184" xr:uid="{DB93DDC8-393B-4B08-BBB4-0C10FC4EFC25}"/>
    <cellStyle name="Normal 8 2 2 4 6" xfId="2634" xr:uid="{00000000-0005-0000-0000-00007E1C0000}"/>
    <cellStyle name="Normal 8 2 2 4 6 2" xfId="6917" xr:uid="{00000000-0005-0000-0000-00007F1C0000}"/>
    <cellStyle name="Normal 8 2 2 4 6 2 2" xfId="15367" xr:uid="{428E8C27-9E01-4C1D-99EA-51FA0B3C3B36}"/>
    <cellStyle name="Normal 8 2 2 4 6 2 3" xfId="23814" xr:uid="{F6552E3C-99C7-4090-8A69-B33BE7917CC6}"/>
    <cellStyle name="Normal 8 2 2 4 6 3" xfId="11149" xr:uid="{11A5BE30-9694-4386-8210-226A5B032B57}"/>
    <cellStyle name="Normal 8 2 2 4 6 4" xfId="19597" xr:uid="{D3A8CE1D-F119-4CB5-B646-A8EEF8652709}"/>
    <cellStyle name="Normal 8 2 2 4 7" xfId="4852" xr:uid="{00000000-0005-0000-0000-0000801C0000}"/>
    <cellStyle name="Normal 8 2 2 4 7 2" xfId="13302" xr:uid="{C756F8F6-C4C9-427D-9A18-E7F771247951}"/>
    <cellStyle name="Normal 8 2 2 4 7 3" xfId="21749" xr:uid="{45FE08FB-0057-4B6C-9AEC-9D3AF250F368}"/>
    <cellStyle name="Normal 8 2 2 4 8" xfId="9084" xr:uid="{BAABB039-7962-46A5-A17D-483877D74EE1}"/>
    <cellStyle name="Normal 8 2 2 4 9" xfId="17532" xr:uid="{D7EA0D06-1EF6-4339-9218-DCC774DAF508}"/>
    <cellStyle name="Normal 8 2 2 5" xfId="947" xr:uid="{00000000-0005-0000-0000-0000811C0000}"/>
    <cellStyle name="Normal 8 2 2 5 2" xfId="3181" xr:uid="{00000000-0005-0000-0000-0000821C0000}"/>
    <cellStyle name="Normal 8 2 2 5 2 2" xfId="7403" xr:uid="{00000000-0005-0000-0000-0000831C0000}"/>
    <cellStyle name="Normal 8 2 2 5 2 2 2" xfId="15853" xr:uid="{2072E3F6-A602-4514-B839-22C4F60E4FCD}"/>
    <cellStyle name="Normal 8 2 2 5 2 2 3" xfId="24300" xr:uid="{CBF40FCC-B54E-414E-B648-55092F7F66BD}"/>
    <cellStyle name="Normal 8 2 2 5 2 3" xfId="11635" xr:uid="{F2ABC9EB-F556-4E4C-B736-290D413E1FB2}"/>
    <cellStyle name="Normal 8 2 2 5 2 4" xfId="20083" xr:uid="{72F37B0E-5FE2-416F-9224-FF2EB64CDBA7}"/>
    <cellStyle name="Normal 8 2 2 5 3" xfId="5258" xr:uid="{00000000-0005-0000-0000-0000841C0000}"/>
    <cellStyle name="Normal 8 2 2 5 3 2" xfId="13708" xr:uid="{A7D02D5D-F2AB-41F5-8BBE-A772468EA019}"/>
    <cellStyle name="Normal 8 2 2 5 3 3" xfId="22155" xr:uid="{D28C5F03-0FFB-493D-9029-ADD443501591}"/>
    <cellStyle name="Normal 8 2 2 5 4" xfId="9490" xr:uid="{A0DF527D-3CDB-498E-A310-CEF1C429F5BF}"/>
    <cellStyle name="Normal 8 2 2 5 5" xfId="17938" xr:uid="{A46970B8-2F0E-4AA9-8870-2724CC0F2431}"/>
    <cellStyle name="Normal 8 2 2 6" xfId="1364" xr:uid="{00000000-0005-0000-0000-0000851C0000}"/>
    <cellStyle name="Normal 8 2 2 6 2" xfId="3594" xr:uid="{00000000-0005-0000-0000-0000861C0000}"/>
    <cellStyle name="Normal 8 2 2 6 2 2" xfId="7816" xr:uid="{00000000-0005-0000-0000-0000871C0000}"/>
    <cellStyle name="Normal 8 2 2 6 2 2 2" xfId="16266" xr:uid="{BA884BB5-76AB-4B9C-9A6A-552677E11773}"/>
    <cellStyle name="Normal 8 2 2 6 2 2 3" xfId="24713" xr:uid="{8EBE9CCF-8019-447D-9ED3-F2D008064A45}"/>
    <cellStyle name="Normal 8 2 2 6 2 3" xfId="12048" xr:uid="{6229D0B2-710C-47B9-B386-1B67BF8AF16B}"/>
    <cellStyle name="Normal 8 2 2 6 2 4" xfId="20496" xr:uid="{91063793-619C-4E27-B01D-D723D205BFA4}"/>
    <cellStyle name="Normal 8 2 2 6 3" xfId="5671" xr:uid="{00000000-0005-0000-0000-0000881C0000}"/>
    <cellStyle name="Normal 8 2 2 6 3 2" xfId="14121" xr:uid="{D61199D6-08EA-4518-9DBE-2840D871F7ED}"/>
    <cellStyle name="Normal 8 2 2 6 3 3" xfId="22568" xr:uid="{BBD6ED1E-AA0C-4AC9-B8AD-48E4764E4E24}"/>
    <cellStyle name="Normal 8 2 2 6 4" xfId="9903" xr:uid="{8A7A2171-98E8-4C85-B238-E5A88EA30651}"/>
    <cellStyle name="Normal 8 2 2 6 5" xfId="18351" xr:uid="{1C2EF463-E2AC-44D1-BCB7-06115C9DD541}"/>
    <cellStyle name="Normal 8 2 2 7" xfId="1777" xr:uid="{00000000-0005-0000-0000-0000891C0000}"/>
    <cellStyle name="Normal 8 2 2 7 2" xfId="4007" xr:uid="{00000000-0005-0000-0000-00008A1C0000}"/>
    <cellStyle name="Normal 8 2 2 7 2 2" xfId="8229" xr:uid="{00000000-0005-0000-0000-00008B1C0000}"/>
    <cellStyle name="Normal 8 2 2 7 2 2 2" xfId="16679" xr:uid="{9234D78C-2116-42F6-8557-447AF83AFB98}"/>
    <cellStyle name="Normal 8 2 2 7 2 2 3" xfId="25126" xr:uid="{6D7C9EC1-3A4C-4DB3-998E-12239AD57CDE}"/>
    <cellStyle name="Normal 8 2 2 7 2 3" xfId="12461" xr:uid="{C37945EF-023A-486B-B342-46D62E52F5EF}"/>
    <cellStyle name="Normal 8 2 2 7 2 4" xfId="20909" xr:uid="{75482B50-8B90-4434-BF6D-A89E18595B0F}"/>
    <cellStyle name="Normal 8 2 2 7 3" xfId="6084" xr:uid="{00000000-0005-0000-0000-00008C1C0000}"/>
    <cellStyle name="Normal 8 2 2 7 3 2" xfId="14534" xr:uid="{303E514D-16CF-484D-B62D-5A9807372B3B}"/>
    <cellStyle name="Normal 8 2 2 7 3 3" xfId="22981" xr:uid="{817C0F6C-11BD-43C2-B923-0235803D58A1}"/>
    <cellStyle name="Normal 8 2 2 7 4" xfId="10316" xr:uid="{B4D95B08-1A44-4E35-A300-A64A76A2A2A3}"/>
    <cellStyle name="Normal 8 2 2 7 5" xfId="18764" xr:uid="{2C5D2AF5-DFEC-470C-9B39-03D563338150}"/>
    <cellStyle name="Normal 8 2 2 8" xfId="2191" xr:uid="{00000000-0005-0000-0000-00008D1C0000}"/>
    <cellStyle name="Normal 8 2 2 8 2" xfId="4420" xr:uid="{00000000-0005-0000-0000-00008E1C0000}"/>
    <cellStyle name="Normal 8 2 2 8 2 2" xfId="8642" xr:uid="{00000000-0005-0000-0000-00008F1C0000}"/>
    <cellStyle name="Normal 8 2 2 8 2 2 2" xfId="17092" xr:uid="{569D2E3B-D48B-4CD0-992D-BE07C2735AD2}"/>
    <cellStyle name="Normal 8 2 2 8 2 2 3" xfId="25539" xr:uid="{09BBD092-8BEE-4BD5-83C8-27DFC7DE10DE}"/>
    <cellStyle name="Normal 8 2 2 8 2 3" xfId="12874" xr:uid="{1001E910-F676-4515-8F81-97856E1BF57E}"/>
    <cellStyle name="Normal 8 2 2 8 2 4" xfId="21322" xr:uid="{E60F88A7-CD9F-434C-BB30-3CEDD8D65CD5}"/>
    <cellStyle name="Normal 8 2 2 8 3" xfId="6497" xr:uid="{00000000-0005-0000-0000-0000901C0000}"/>
    <cellStyle name="Normal 8 2 2 8 3 2" xfId="14947" xr:uid="{F8B71470-90FA-4AE8-8044-F540B5413EFF}"/>
    <cellStyle name="Normal 8 2 2 8 3 3" xfId="23394" xr:uid="{D37A469F-BBE4-4EDD-9BED-1C816F44BCD4}"/>
    <cellStyle name="Normal 8 2 2 8 4" xfId="10729" xr:uid="{87DD276B-D54E-4297-87F2-55FA72A7BA9F}"/>
    <cellStyle name="Normal 8 2 2 8 5" xfId="19177" xr:uid="{F2C5068D-03DB-4530-956C-63D4C21626A4}"/>
    <cellStyle name="Normal 8 2 2 9" xfId="2627" xr:uid="{00000000-0005-0000-0000-0000911C0000}"/>
    <cellStyle name="Normal 8 2 2 9 2" xfId="6910" xr:uid="{00000000-0005-0000-0000-0000921C0000}"/>
    <cellStyle name="Normal 8 2 2 9 2 2" xfId="15360" xr:uid="{7E8D27F0-367C-43F0-9DE6-8457F5BF9979}"/>
    <cellStyle name="Normal 8 2 2 9 2 3" xfId="23807" xr:uid="{977CAAA1-A652-4E4F-AA60-A593E4950F79}"/>
    <cellStyle name="Normal 8 2 2 9 3" xfId="11142" xr:uid="{CE23C1DD-85E8-4B8F-8F40-A865F2F0E81F}"/>
    <cellStyle name="Normal 8 2 2 9 4" xfId="19590" xr:uid="{9F8569A3-C2A7-4C76-812F-BB8078E1F2EC}"/>
    <cellStyle name="Normal 8 2 3" xfId="488" xr:uid="{00000000-0005-0000-0000-0000931C0000}"/>
    <cellStyle name="Normal 8 2 3 10" xfId="9085" xr:uid="{139E0BB5-54B6-4483-ACC8-B0AC31EA780C}"/>
    <cellStyle name="Normal 8 2 3 11" xfId="17533" xr:uid="{0F635354-5E72-40D3-B6F7-C4A4BCCB2D8B}"/>
    <cellStyle name="Normal 8 2 3 2" xfId="489" xr:uid="{00000000-0005-0000-0000-0000941C0000}"/>
    <cellStyle name="Normal 8 2 3 2 10" xfId="17534" xr:uid="{468772E3-E9C2-42DB-9089-4D495399B9CE}"/>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2 2 2" xfId="15863" xr:uid="{6E5F58E6-CB3F-4ECA-BEEE-7A2A806367D5}"/>
    <cellStyle name="Normal 8 2 3 2 2 2 2 2 3" xfId="24310" xr:uid="{31400C8E-E5E4-4B9C-B3D5-311DC6482290}"/>
    <cellStyle name="Normal 8 2 3 2 2 2 2 3" xfId="11645" xr:uid="{6A579A8C-5531-4E6A-8B69-07336CFEB4C9}"/>
    <cellStyle name="Normal 8 2 3 2 2 2 2 4" xfId="20093" xr:uid="{79DAC74E-C0AA-48E1-8DFD-473B2028DB39}"/>
    <cellStyle name="Normal 8 2 3 2 2 2 3" xfId="5268" xr:uid="{00000000-0005-0000-0000-0000991C0000}"/>
    <cellStyle name="Normal 8 2 3 2 2 2 3 2" xfId="13718" xr:uid="{2314D544-0BE3-4C17-9C36-BBE134E96D5C}"/>
    <cellStyle name="Normal 8 2 3 2 2 2 3 3" xfId="22165" xr:uid="{CF94C588-A21B-4575-899C-8A0FABD35048}"/>
    <cellStyle name="Normal 8 2 3 2 2 2 4" xfId="9500" xr:uid="{7F5B2BDD-5574-4D8D-A44A-65E9C5B3080A}"/>
    <cellStyle name="Normal 8 2 3 2 2 2 5" xfId="17948" xr:uid="{9315ED1B-DB54-453A-A731-4E97AF30C829}"/>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2 2 2" xfId="16276" xr:uid="{D932201A-8643-4C3C-8676-5E0010851C55}"/>
    <cellStyle name="Normal 8 2 3 2 2 3 2 2 3" xfId="24723" xr:uid="{52D3BEC8-693A-4BAE-9154-4AD3DD76A92F}"/>
    <cellStyle name="Normal 8 2 3 2 2 3 2 3" xfId="12058" xr:uid="{960BABF5-24C2-4089-AA9C-39CA2A418FF0}"/>
    <cellStyle name="Normal 8 2 3 2 2 3 2 4" xfId="20506" xr:uid="{CA219EC7-3BC9-4D12-A5ED-6358FBD541A8}"/>
    <cellStyle name="Normal 8 2 3 2 2 3 3" xfId="5681" xr:uid="{00000000-0005-0000-0000-00009D1C0000}"/>
    <cellStyle name="Normal 8 2 3 2 2 3 3 2" xfId="14131" xr:uid="{818067FA-95A5-44DF-B8D9-36384EA45329}"/>
    <cellStyle name="Normal 8 2 3 2 2 3 3 3" xfId="22578" xr:uid="{9DF4CDB8-7E90-4DDA-A92F-F111D618B78E}"/>
    <cellStyle name="Normal 8 2 3 2 2 3 4" xfId="9913" xr:uid="{D532E04E-5004-44F8-8E16-20478D4A2646}"/>
    <cellStyle name="Normal 8 2 3 2 2 3 5" xfId="18361" xr:uid="{4EC6C08D-F1CC-478E-8DCA-15DD08833E7D}"/>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2 2 2" xfId="16689" xr:uid="{48D7A657-5B5F-4A9C-B4D9-FDBFB2028043}"/>
    <cellStyle name="Normal 8 2 3 2 2 4 2 2 3" xfId="25136" xr:uid="{646611A9-03B6-4A32-BDBE-CE7381629A0B}"/>
    <cellStyle name="Normal 8 2 3 2 2 4 2 3" xfId="12471" xr:uid="{C545B157-BBF3-4F7A-A5FB-E064A20468C6}"/>
    <cellStyle name="Normal 8 2 3 2 2 4 2 4" xfId="20919" xr:uid="{C44C7D8A-9AB8-4D89-9CB3-9004865AE1D5}"/>
    <cellStyle name="Normal 8 2 3 2 2 4 3" xfId="6094" xr:uid="{00000000-0005-0000-0000-0000A11C0000}"/>
    <cellStyle name="Normal 8 2 3 2 2 4 3 2" xfId="14544" xr:uid="{7889B144-2B5B-42D6-B383-C00E73C7B9F3}"/>
    <cellStyle name="Normal 8 2 3 2 2 4 3 3" xfId="22991" xr:uid="{EEFAFBC8-A618-44F3-8A80-E61BE279DD01}"/>
    <cellStyle name="Normal 8 2 3 2 2 4 4" xfId="10326" xr:uid="{6EDEBFFF-FA87-466C-BCF1-27378BBA8E93}"/>
    <cellStyle name="Normal 8 2 3 2 2 4 5" xfId="18774" xr:uid="{65C12BFF-A68C-48AB-B8D2-78D2203DD5FD}"/>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2 2 2" xfId="17102" xr:uid="{7F05B585-7141-446F-83C2-19B6D94AC5E4}"/>
    <cellStyle name="Normal 8 2 3 2 2 5 2 2 3" xfId="25549" xr:uid="{0B0A484E-970E-483A-8C12-B1BC13FFD484}"/>
    <cellStyle name="Normal 8 2 3 2 2 5 2 3" xfId="12884" xr:uid="{FDA87920-2EB3-48D6-BB87-83AC6875644D}"/>
    <cellStyle name="Normal 8 2 3 2 2 5 2 4" xfId="21332" xr:uid="{45B03E61-72E4-4642-AB3B-02C080963A60}"/>
    <cellStyle name="Normal 8 2 3 2 2 5 3" xfId="6507" xr:uid="{00000000-0005-0000-0000-0000A51C0000}"/>
    <cellStyle name="Normal 8 2 3 2 2 5 3 2" xfId="14957" xr:uid="{13CEF5A5-EFD0-4626-933F-8F0E9E5BEC1F}"/>
    <cellStyle name="Normal 8 2 3 2 2 5 3 3" xfId="23404" xr:uid="{65D69F76-A5B8-426F-9B82-53A7A1EDFABA}"/>
    <cellStyle name="Normal 8 2 3 2 2 5 4" xfId="10739" xr:uid="{006ECC6F-1A36-434D-BA2D-F5E1BE4AD794}"/>
    <cellStyle name="Normal 8 2 3 2 2 5 5" xfId="19187" xr:uid="{79098DF6-563B-4512-BDED-5A683120FBEB}"/>
    <cellStyle name="Normal 8 2 3 2 2 6" xfId="2637" xr:uid="{00000000-0005-0000-0000-0000A61C0000}"/>
    <cellStyle name="Normal 8 2 3 2 2 6 2" xfId="6920" xr:uid="{00000000-0005-0000-0000-0000A71C0000}"/>
    <cellStyle name="Normal 8 2 3 2 2 6 2 2" xfId="15370" xr:uid="{3CE69C10-B678-44F2-A9BC-A26FA947205D}"/>
    <cellStyle name="Normal 8 2 3 2 2 6 2 3" xfId="23817" xr:uid="{DA4C2E6A-E9FA-4C60-8840-1BBE7191CCF6}"/>
    <cellStyle name="Normal 8 2 3 2 2 6 3" xfId="11152" xr:uid="{5C4169B2-76FA-4C31-A612-3E8A8F8529F9}"/>
    <cellStyle name="Normal 8 2 3 2 2 6 4" xfId="19600" xr:uid="{C6AD418D-054C-440B-B019-A48CCD54E94A}"/>
    <cellStyle name="Normal 8 2 3 2 2 7" xfId="4855" xr:uid="{00000000-0005-0000-0000-0000A81C0000}"/>
    <cellStyle name="Normal 8 2 3 2 2 7 2" xfId="13305" xr:uid="{99D2FCDB-06FF-433E-BC6C-2C0377CFE156}"/>
    <cellStyle name="Normal 8 2 3 2 2 7 3" xfId="21752" xr:uid="{8E67EE94-9468-43BA-915C-A90B72D85636}"/>
    <cellStyle name="Normal 8 2 3 2 2 8" xfId="9087" xr:uid="{A3BB0EAA-D6D7-433D-83BB-10F30C0DF8F7}"/>
    <cellStyle name="Normal 8 2 3 2 2 9" xfId="17535" xr:uid="{A56D532D-4D20-4C2E-B1CC-B4869CDC611E}"/>
    <cellStyle name="Normal 8 2 3 2 3" xfId="956" xr:uid="{00000000-0005-0000-0000-0000A91C0000}"/>
    <cellStyle name="Normal 8 2 3 2 3 2" xfId="3190" xr:uid="{00000000-0005-0000-0000-0000AA1C0000}"/>
    <cellStyle name="Normal 8 2 3 2 3 2 2" xfId="7412" xr:uid="{00000000-0005-0000-0000-0000AB1C0000}"/>
    <cellStyle name="Normal 8 2 3 2 3 2 2 2" xfId="15862" xr:uid="{2F5DF75A-1ECC-4FDE-96A4-E00096422FA2}"/>
    <cellStyle name="Normal 8 2 3 2 3 2 2 3" xfId="24309" xr:uid="{7ECD6E34-01CE-44B0-9F0D-2827F2B13D7C}"/>
    <cellStyle name="Normal 8 2 3 2 3 2 3" xfId="11644" xr:uid="{6AAF5BA3-195E-4EF9-97A7-AC5571C3AB33}"/>
    <cellStyle name="Normal 8 2 3 2 3 2 4" xfId="20092" xr:uid="{8B37E87A-1A26-4D5A-B345-B6A96670B741}"/>
    <cellStyle name="Normal 8 2 3 2 3 3" xfId="5267" xr:uid="{00000000-0005-0000-0000-0000AC1C0000}"/>
    <cellStyle name="Normal 8 2 3 2 3 3 2" xfId="13717" xr:uid="{2D9E1CA8-0C8B-4698-9A97-097C9DCD4556}"/>
    <cellStyle name="Normal 8 2 3 2 3 3 3" xfId="22164" xr:uid="{E07173F8-6412-4E7E-9714-98FE6E55118B}"/>
    <cellStyle name="Normal 8 2 3 2 3 4" xfId="9499" xr:uid="{13DADA90-B956-479E-AC7B-7580028800C3}"/>
    <cellStyle name="Normal 8 2 3 2 3 5" xfId="17947" xr:uid="{19650D4E-7E27-4DF2-8375-AAE0F066B8DD}"/>
    <cellStyle name="Normal 8 2 3 2 4" xfId="1373" xr:uid="{00000000-0005-0000-0000-0000AD1C0000}"/>
    <cellStyle name="Normal 8 2 3 2 4 2" xfId="3603" xr:uid="{00000000-0005-0000-0000-0000AE1C0000}"/>
    <cellStyle name="Normal 8 2 3 2 4 2 2" xfId="7825" xr:uid="{00000000-0005-0000-0000-0000AF1C0000}"/>
    <cellStyle name="Normal 8 2 3 2 4 2 2 2" xfId="16275" xr:uid="{8A41B5CE-AF1A-4886-9FF2-D5ED45451774}"/>
    <cellStyle name="Normal 8 2 3 2 4 2 2 3" xfId="24722" xr:uid="{1E7A6D0E-355C-43EC-9A87-06B8D648CC8B}"/>
    <cellStyle name="Normal 8 2 3 2 4 2 3" xfId="12057" xr:uid="{C8665C14-CBF1-48F1-8DD2-66D7429E9600}"/>
    <cellStyle name="Normal 8 2 3 2 4 2 4" xfId="20505" xr:uid="{F75A1958-7039-4854-B96C-DDA3A1A7709D}"/>
    <cellStyle name="Normal 8 2 3 2 4 3" xfId="5680" xr:uid="{00000000-0005-0000-0000-0000B01C0000}"/>
    <cellStyle name="Normal 8 2 3 2 4 3 2" xfId="14130" xr:uid="{43A244B1-EC76-4CBD-A2FB-320B075DA36A}"/>
    <cellStyle name="Normal 8 2 3 2 4 3 3" xfId="22577" xr:uid="{2469AD43-8629-4B3E-896A-AB742BF198FC}"/>
    <cellStyle name="Normal 8 2 3 2 4 4" xfId="9912" xr:uid="{4E8E4492-4723-4285-96BA-CE7C27071198}"/>
    <cellStyle name="Normal 8 2 3 2 4 5" xfId="18360" xr:uid="{2DC7614E-DA16-46D5-9506-1760F14FB67D}"/>
    <cellStyle name="Normal 8 2 3 2 5" xfId="1786" xr:uid="{00000000-0005-0000-0000-0000B11C0000}"/>
    <cellStyle name="Normal 8 2 3 2 5 2" xfId="4016" xr:uid="{00000000-0005-0000-0000-0000B21C0000}"/>
    <cellStyle name="Normal 8 2 3 2 5 2 2" xfId="8238" xr:uid="{00000000-0005-0000-0000-0000B31C0000}"/>
    <cellStyle name="Normal 8 2 3 2 5 2 2 2" xfId="16688" xr:uid="{6995876B-E6BA-42E5-A264-ED43CABB1DCF}"/>
    <cellStyle name="Normal 8 2 3 2 5 2 2 3" xfId="25135" xr:uid="{C1BD5F35-0084-48B1-8C13-D6266D5B7F0D}"/>
    <cellStyle name="Normal 8 2 3 2 5 2 3" xfId="12470" xr:uid="{3DCF59E4-A8E7-450E-836C-15741022B85E}"/>
    <cellStyle name="Normal 8 2 3 2 5 2 4" xfId="20918" xr:uid="{89BDA1F0-1BEF-42BB-B821-B1E426F6D52B}"/>
    <cellStyle name="Normal 8 2 3 2 5 3" xfId="6093" xr:uid="{00000000-0005-0000-0000-0000B41C0000}"/>
    <cellStyle name="Normal 8 2 3 2 5 3 2" xfId="14543" xr:uid="{0CD56038-9565-4A80-A3EF-7768E9F4C6AB}"/>
    <cellStyle name="Normal 8 2 3 2 5 3 3" xfId="22990" xr:uid="{FA789B0D-EAA1-4127-BFC6-9DF0DC098C38}"/>
    <cellStyle name="Normal 8 2 3 2 5 4" xfId="10325" xr:uid="{3619384B-E65C-452B-B8D5-16D721A1207F}"/>
    <cellStyle name="Normal 8 2 3 2 5 5" xfId="18773" xr:uid="{4D3A1B25-D23E-46FB-B65D-68CB4D235804}"/>
    <cellStyle name="Normal 8 2 3 2 6" xfId="2200" xr:uid="{00000000-0005-0000-0000-0000B51C0000}"/>
    <cellStyle name="Normal 8 2 3 2 6 2" xfId="4429" xr:uid="{00000000-0005-0000-0000-0000B61C0000}"/>
    <cellStyle name="Normal 8 2 3 2 6 2 2" xfId="8651" xr:uid="{00000000-0005-0000-0000-0000B71C0000}"/>
    <cellStyle name="Normal 8 2 3 2 6 2 2 2" xfId="17101" xr:uid="{D0299674-884E-4D22-9545-0EF6ECEE7784}"/>
    <cellStyle name="Normal 8 2 3 2 6 2 2 3" xfId="25548" xr:uid="{CABA3017-E00E-4E85-BEF0-DE40F5747B07}"/>
    <cellStyle name="Normal 8 2 3 2 6 2 3" xfId="12883" xr:uid="{A85BB530-76BE-43FE-B477-95C92C447590}"/>
    <cellStyle name="Normal 8 2 3 2 6 2 4" xfId="21331" xr:uid="{C86A4014-C2A5-4A13-8FC5-B49280F6E4A2}"/>
    <cellStyle name="Normal 8 2 3 2 6 3" xfId="6506" xr:uid="{00000000-0005-0000-0000-0000B81C0000}"/>
    <cellStyle name="Normal 8 2 3 2 6 3 2" xfId="14956" xr:uid="{B20C2E36-8E27-4B6A-B3C4-675C6180DD9E}"/>
    <cellStyle name="Normal 8 2 3 2 6 3 3" xfId="23403" xr:uid="{C0B1C885-ED15-4E7A-85C2-40406150D9F7}"/>
    <cellStyle name="Normal 8 2 3 2 6 4" xfId="10738" xr:uid="{471C6B3B-F71E-4093-9C2B-C15DA4ABE3CB}"/>
    <cellStyle name="Normal 8 2 3 2 6 5" xfId="19186" xr:uid="{D8BDB40B-C3DD-4130-8471-D054FEF866F0}"/>
    <cellStyle name="Normal 8 2 3 2 7" xfId="2636" xr:uid="{00000000-0005-0000-0000-0000B91C0000}"/>
    <cellStyle name="Normal 8 2 3 2 7 2" xfId="6919" xr:uid="{00000000-0005-0000-0000-0000BA1C0000}"/>
    <cellStyle name="Normal 8 2 3 2 7 2 2" xfId="15369" xr:uid="{F15E078A-CD7A-4DB0-96F7-FD3ED7693113}"/>
    <cellStyle name="Normal 8 2 3 2 7 2 3" xfId="23816" xr:uid="{1CBDCFD4-40E2-4A7D-ADEA-9D58A4CDDA5E}"/>
    <cellStyle name="Normal 8 2 3 2 7 3" xfId="11151" xr:uid="{113A03A9-77CD-4CD2-BB1E-27D35CAA4D8F}"/>
    <cellStyle name="Normal 8 2 3 2 7 4" xfId="19599" xr:uid="{85E6A94D-4626-4E9E-AEBA-FCA7C1708B11}"/>
    <cellStyle name="Normal 8 2 3 2 8" xfId="4854" xr:uid="{00000000-0005-0000-0000-0000BB1C0000}"/>
    <cellStyle name="Normal 8 2 3 2 8 2" xfId="13304" xr:uid="{FECC15F6-6846-4C7F-9FE2-3392D2BAFEAF}"/>
    <cellStyle name="Normal 8 2 3 2 8 3" xfId="21751" xr:uid="{C401F7AC-CC49-4782-9BC7-BA349B509F77}"/>
    <cellStyle name="Normal 8 2 3 2 9" xfId="9086" xr:uid="{AEBD3A28-75A0-4B0D-B63E-B0BFE2D1B6BA}"/>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2 2 2" xfId="15864" xr:uid="{733160F9-910A-4108-B339-3B24E9CEE1DB}"/>
    <cellStyle name="Normal 8 2 3 3 2 2 2 3" xfId="24311" xr:uid="{615BC515-6880-4701-91FC-32AA751A758D}"/>
    <cellStyle name="Normal 8 2 3 3 2 2 3" xfId="11646" xr:uid="{F9646CA0-ACD3-437B-993C-BBD3C7C89853}"/>
    <cellStyle name="Normal 8 2 3 3 2 2 4" xfId="20094" xr:uid="{F2E0E26A-DD25-4DCA-9828-0BA78F3678C9}"/>
    <cellStyle name="Normal 8 2 3 3 2 3" xfId="5269" xr:uid="{00000000-0005-0000-0000-0000C01C0000}"/>
    <cellStyle name="Normal 8 2 3 3 2 3 2" xfId="13719" xr:uid="{1CEF3EE5-BB2F-47FA-9419-6190086CDBCF}"/>
    <cellStyle name="Normal 8 2 3 3 2 3 3" xfId="22166" xr:uid="{77794BBD-2D3E-4ACD-9A64-0DF3CAFEA266}"/>
    <cellStyle name="Normal 8 2 3 3 2 4" xfId="9501" xr:uid="{F5CBCE80-70D2-45A6-801F-01D8D1B3B0DE}"/>
    <cellStyle name="Normal 8 2 3 3 2 5" xfId="17949" xr:uid="{A5C1EDAB-048D-4648-BDD0-D0ADCF0BD6A9}"/>
    <cellStyle name="Normal 8 2 3 3 3" xfId="1375" xr:uid="{00000000-0005-0000-0000-0000C11C0000}"/>
    <cellStyle name="Normal 8 2 3 3 3 2" xfId="3605" xr:uid="{00000000-0005-0000-0000-0000C21C0000}"/>
    <cellStyle name="Normal 8 2 3 3 3 2 2" xfId="7827" xr:uid="{00000000-0005-0000-0000-0000C31C0000}"/>
    <cellStyle name="Normal 8 2 3 3 3 2 2 2" xfId="16277" xr:uid="{6DA0DAAE-005F-4BD4-BB87-59861CA3F96A}"/>
    <cellStyle name="Normal 8 2 3 3 3 2 2 3" xfId="24724" xr:uid="{8ECF3F8B-14E3-411F-9BD3-330067B534CD}"/>
    <cellStyle name="Normal 8 2 3 3 3 2 3" xfId="12059" xr:uid="{D302C5D9-651A-47E7-BF4A-0DD419D5CD2B}"/>
    <cellStyle name="Normal 8 2 3 3 3 2 4" xfId="20507" xr:uid="{59DB23F8-2E10-4CD5-ACC0-A14C2EB1F4EC}"/>
    <cellStyle name="Normal 8 2 3 3 3 3" xfId="5682" xr:uid="{00000000-0005-0000-0000-0000C41C0000}"/>
    <cellStyle name="Normal 8 2 3 3 3 3 2" xfId="14132" xr:uid="{53D85EFA-4E50-4565-892B-D42F40CDB528}"/>
    <cellStyle name="Normal 8 2 3 3 3 3 3" xfId="22579" xr:uid="{E5C172C9-DDE2-4D0C-9AED-F0C1B53025C2}"/>
    <cellStyle name="Normal 8 2 3 3 3 4" xfId="9914" xr:uid="{53CF5386-9D28-462C-A647-0E890381DFB3}"/>
    <cellStyle name="Normal 8 2 3 3 3 5" xfId="18362" xr:uid="{53ED2F17-1695-43AD-B711-FBD83A093C90}"/>
    <cellStyle name="Normal 8 2 3 3 4" xfId="1788" xr:uid="{00000000-0005-0000-0000-0000C51C0000}"/>
    <cellStyle name="Normal 8 2 3 3 4 2" xfId="4018" xr:uid="{00000000-0005-0000-0000-0000C61C0000}"/>
    <cellStyle name="Normal 8 2 3 3 4 2 2" xfId="8240" xr:uid="{00000000-0005-0000-0000-0000C71C0000}"/>
    <cellStyle name="Normal 8 2 3 3 4 2 2 2" xfId="16690" xr:uid="{9B117023-5551-49DB-A96E-06F534AC5014}"/>
    <cellStyle name="Normal 8 2 3 3 4 2 2 3" xfId="25137" xr:uid="{DECE710E-A6A0-4984-9BE5-3140F1495495}"/>
    <cellStyle name="Normal 8 2 3 3 4 2 3" xfId="12472" xr:uid="{4BDFDA48-8121-4013-8EE4-79FD9C1658DB}"/>
    <cellStyle name="Normal 8 2 3 3 4 2 4" xfId="20920" xr:uid="{6A57AD7D-2224-424E-B4CD-7B0EB6FAE45B}"/>
    <cellStyle name="Normal 8 2 3 3 4 3" xfId="6095" xr:uid="{00000000-0005-0000-0000-0000C81C0000}"/>
    <cellStyle name="Normal 8 2 3 3 4 3 2" xfId="14545" xr:uid="{FC8EAFCE-147A-4FCB-9E5F-F322E88C6197}"/>
    <cellStyle name="Normal 8 2 3 3 4 3 3" xfId="22992" xr:uid="{E7D1103C-5AF5-4C3B-A765-5D22862FECDA}"/>
    <cellStyle name="Normal 8 2 3 3 4 4" xfId="10327" xr:uid="{CD70E1AC-AD68-4140-B908-06CDBBDE5832}"/>
    <cellStyle name="Normal 8 2 3 3 4 5" xfId="18775" xr:uid="{AE680E0D-1FC0-438F-8251-7918BA485008}"/>
    <cellStyle name="Normal 8 2 3 3 5" xfId="2202" xr:uid="{00000000-0005-0000-0000-0000C91C0000}"/>
    <cellStyle name="Normal 8 2 3 3 5 2" xfId="4431" xr:uid="{00000000-0005-0000-0000-0000CA1C0000}"/>
    <cellStyle name="Normal 8 2 3 3 5 2 2" xfId="8653" xr:uid="{00000000-0005-0000-0000-0000CB1C0000}"/>
    <cellStyle name="Normal 8 2 3 3 5 2 2 2" xfId="17103" xr:uid="{25271E30-44A5-4BA1-A306-82340C0960B7}"/>
    <cellStyle name="Normal 8 2 3 3 5 2 2 3" xfId="25550" xr:uid="{80248E80-7D7D-4450-AC07-7A0F565B02E2}"/>
    <cellStyle name="Normal 8 2 3 3 5 2 3" xfId="12885" xr:uid="{54765F90-AF7D-42EB-A123-57F0E98EE1D4}"/>
    <cellStyle name="Normal 8 2 3 3 5 2 4" xfId="21333" xr:uid="{E628669F-5DC7-4B67-A84C-9E9691535744}"/>
    <cellStyle name="Normal 8 2 3 3 5 3" xfId="6508" xr:uid="{00000000-0005-0000-0000-0000CC1C0000}"/>
    <cellStyle name="Normal 8 2 3 3 5 3 2" xfId="14958" xr:uid="{367E76F9-A5CD-42D1-8D63-4FB61FF2A4B4}"/>
    <cellStyle name="Normal 8 2 3 3 5 3 3" xfId="23405" xr:uid="{8BAC144E-4D19-40F6-9F4F-E2B6F08244E7}"/>
    <cellStyle name="Normal 8 2 3 3 5 4" xfId="10740" xr:uid="{659AC720-4866-4C27-A0AB-B27CF0D4170C}"/>
    <cellStyle name="Normal 8 2 3 3 5 5" xfId="19188" xr:uid="{07A1A692-680E-4510-B65C-1A4BAF091C89}"/>
    <cellStyle name="Normal 8 2 3 3 6" xfId="2638" xr:uid="{00000000-0005-0000-0000-0000CD1C0000}"/>
    <cellStyle name="Normal 8 2 3 3 6 2" xfId="6921" xr:uid="{00000000-0005-0000-0000-0000CE1C0000}"/>
    <cellStyle name="Normal 8 2 3 3 6 2 2" xfId="15371" xr:uid="{88FE3FD3-6FD7-46B2-8C8B-96E4A6AF0CB5}"/>
    <cellStyle name="Normal 8 2 3 3 6 2 3" xfId="23818" xr:uid="{E30D0AB3-8844-432C-93E0-D2368762AF8A}"/>
    <cellStyle name="Normal 8 2 3 3 6 3" xfId="11153" xr:uid="{4062EE41-7DB8-4CC2-8BAD-0CBAAA36CC3B}"/>
    <cellStyle name="Normal 8 2 3 3 6 4" xfId="19601" xr:uid="{48619F97-F7EF-4CD4-82AB-CDF74D05ADBA}"/>
    <cellStyle name="Normal 8 2 3 3 7" xfId="4856" xr:uid="{00000000-0005-0000-0000-0000CF1C0000}"/>
    <cellStyle name="Normal 8 2 3 3 7 2" xfId="13306" xr:uid="{3492B036-9BD8-4EAE-9471-6AB44DF48A02}"/>
    <cellStyle name="Normal 8 2 3 3 7 3" xfId="21753" xr:uid="{D6C85A20-FC45-41D8-A395-506EAE03E497}"/>
    <cellStyle name="Normal 8 2 3 3 8" xfId="9088" xr:uid="{04A1DC3C-EDAD-409A-8325-EBDD773DE698}"/>
    <cellStyle name="Normal 8 2 3 3 9" xfId="17536" xr:uid="{90361819-70B4-4417-98E5-11F573F005FD}"/>
    <cellStyle name="Normal 8 2 3 4" xfId="955" xr:uid="{00000000-0005-0000-0000-0000D01C0000}"/>
    <cellStyle name="Normal 8 2 3 4 2" xfId="3189" xr:uid="{00000000-0005-0000-0000-0000D11C0000}"/>
    <cellStyle name="Normal 8 2 3 4 2 2" xfId="7411" xr:uid="{00000000-0005-0000-0000-0000D21C0000}"/>
    <cellStyle name="Normal 8 2 3 4 2 2 2" xfId="15861" xr:uid="{4DE7F2F4-77CC-4F74-91C7-579537AF7C19}"/>
    <cellStyle name="Normal 8 2 3 4 2 2 3" xfId="24308" xr:uid="{571FD009-8EF3-4588-8DA6-DCC989658306}"/>
    <cellStyle name="Normal 8 2 3 4 2 3" xfId="11643" xr:uid="{3078D701-90B2-4125-86BF-B600677AB2F4}"/>
    <cellStyle name="Normal 8 2 3 4 2 4" xfId="20091" xr:uid="{A266C195-707B-479B-9865-61EDEB3DC2E1}"/>
    <cellStyle name="Normal 8 2 3 4 3" xfId="5266" xr:uid="{00000000-0005-0000-0000-0000D31C0000}"/>
    <cellStyle name="Normal 8 2 3 4 3 2" xfId="13716" xr:uid="{37F2158A-0CD3-44FF-AFE3-9064FFFC2334}"/>
    <cellStyle name="Normal 8 2 3 4 3 3" xfId="22163" xr:uid="{EE4B0337-ECE1-401D-B64C-E5408BAA28F4}"/>
    <cellStyle name="Normal 8 2 3 4 4" xfId="9498" xr:uid="{C23FCCDD-9C6F-4F7F-B976-33B55D86F6E7}"/>
    <cellStyle name="Normal 8 2 3 4 5" xfId="17946" xr:uid="{FB0E4419-2C8B-43EE-A11B-D178F8DE52B2}"/>
    <cellStyle name="Normal 8 2 3 5" xfId="1372" xr:uid="{00000000-0005-0000-0000-0000D41C0000}"/>
    <cellStyle name="Normal 8 2 3 5 2" xfId="3602" xr:uid="{00000000-0005-0000-0000-0000D51C0000}"/>
    <cellStyle name="Normal 8 2 3 5 2 2" xfId="7824" xr:uid="{00000000-0005-0000-0000-0000D61C0000}"/>
    <cellStyle name="Normal 8 2 3 5 2 2 2" xfId="16274" xr:uid="{7C3E2A97-00B4-49C1-BCCD-2584727FDC55}"/>
    <cellStyle name="Normal 8 2 3 5 2 2 3" xfId="24721" xr:uid="{57BEEE61-C42E-4C83-9EC4-8FA7BE905AED}"/>
    <cellStyle name="Normal 8 2 3 5 2 3" xfId="12056" xr:uid="{0E10C082-C964-4033-9A62-14BDA3C35879}"/>
    <cellStyle name="Normal 8 2 3 5 2 4" xfId="20504" xr:uid="{DC7EF29B-96EA-43B2-8C55-7CFC4AE51DB3}"/>
    <cellStyle name="Normal 8 2 3 5 3" xfId="5679" xr:uid="{00000000-0005-0000-0000-0000D71C0000}"/>
    <cellStyle name="Normal 8 2 3 5 3 2" xfId="14129" xr:uid="{1C8D4917-3F7C-44B2-8335-0D688E07403D}"/>
    <cellStyle name="Normal 8 2 3 5 3 3" xfId="22576" xr:uid="{3653A29A-1271-42AD-B63B-9F3DE5B2C104}"/>
    <cellStyle name="Normal 8 2 3 5 4" xfId="9911" xr:uid="{CBB89547-B264-4225-BB56-E52AD7BED4D5}"/>
    <cellStyle name="Normal 8 2 3 5 5" xfId="18359" xr:uid="{21B3512B-502E-4BB8-AD79-AEE44A2E47E2}"/>
    <cellStyle name="Normal 8 2 3 6" xfId="1785" xr:uid="{00000000-0005-0000-0000-0000D81C0000}"/>
    <cellStyle name="Normal 8 2 3 6 2" xfId="4015" xr:uid="{00000000-0005-0000-0000-0000D91C0000}"/>
    <cellStyle name="Normal 8 2 3 6 2 2" xfId="8237" xr:uid="{00000000-0005-0000-0000-0000DA1C0000}"/>
    <cellStyle name="Normal 8 2 3 6 2 2 2" xfId="16687" xr:uid="{2E04BDC6-8740-4512-B22D-5A1C0C3AC14E}"/>
    <cellStyle name="Normal 8 2 3 6 2 2 3" xfId="25134" xr:uid="{13C24441-01AE-449E-B8D7-BFA8F5396852}"/>
    <cellStyle name="Normal 8 2 3 6 2 3" xfId="12469" xr:uid="{24566545-B151-4531-A842-022BE4B31389}"/>
    <cellStyle name="Normal 8 2 3 6 2 4" xfId="20917" xr:uid="{68802E1C-4E7B-4AD5-B7D1-F3AEE2235FED}"/>
    <cellStyle name="Normal 8 2 3 6 3" xfId="6092" xr:uid="{00000000-0005-0000-0000-0000DB1C0000}"/>
    <cellStyle name="Normal 8 2 3 6 3 2" xfId="14542" xr:uid="{1039D5A2-8BB0-4066-A11D-BE6A84B78930}"/>
    <cellStyle name="Normal 8 2 3 6 3 3" xfId="22989" xr:uid="{02CCE50F-3143-43BA-B0A0-9DBBB8C2606B}"/>
    <cellStyle name="Normal 8 2 3 6 4" xfId="10324" xr:uid="{982CF7EE-FFBB-42E4-BDCB-100F49044AD6}"/>
    <cellStyle name="Normal 8 2 3 6 5" xfId="18772" xr:uid="{D9D6DC64-F9AA-433D-8751-9904BFA2F906}"/>
    <cellStyle name="Normal 8 2 3 7" xfId="2199" xr:uid="{00000000-0005-0000-0000-0000DC1C0000}"/>
    <cellStyle name="Normal 8 2 3 7 2" xfId="4428" xr:uid="{00000000-0005-0000-0000-0000DD1C0000}"/>
    <cellStyle name="Normal 8 2 3 7 2 2" xfId="8650" xr:uid="{00000000-0005-0000-0000-0000DE1C0000}"/>
    <cellStyle name="Normal 8 2 3 7 2 2 2" xfId="17100" xr:uid="{A850D6E2-A95C-4B56-B485-6DD8EF3EDF58}"/>
    <cellStyle name="Normal 8 2 3 7 2 2 3" xfId="25547" xr:uid="{CA7CB51B-34BB-43B8-8D28-278DC6456A44}"/>
    <cellStyle name="Normal 8 2 3 7 2 3" xfId="12882" xr:uid="{237A3CC3-04D7-4D74-8D1C-B84D094D2055}"/>
    <cellStyle name="Normal 8 2 3 7 2 4" xfId="21330" xr:uid="{DBB0BADF-58F6-4A81-9EDA-2374F6BAB728}"/>
    <cellStyle name="Normal 8 2 3 7 3" xfId="6505" xr:uid="{00000000-0005-0000-0000-0000DF1C0000}"/>
    <cellStyle name="Normal 8 2 3 7 3 2" xfId="14955" xr:uid="{285BF0B4-7C09-452F-B1D1-4A9111C1B865}"/>
    <cellStyle name="Normal 8 2 3 7 3 3" xfId="23402" xr:uid="{37A49A01-17C9-4DBC-AE10-FBEBB76D37C8}"/>
    <cellStyle name="Normal 8 2 3 7 4" xfId="10737" xr:uid="{3ABAD17D-6573-4D3B-942A-41F3565E774E}"/>
    <cellStyle name="Normal 8 2 3 7 5" xfId="19185" xr:uid="{24331F38-4B13-4FD5-B719-49A769DCA1F9}"/>
    <cellStyle name="Normal 8 2 3 8" xfId="2635" xr:uid="{00000000-0005-0000-0000-0000E01C0000}"/>
    <cellStyle name="Normal 8 2 3 8 2" xfId="6918" xr:uid="{00000000-0005-0000-0000-0000E11C0000}"/>
    <cellStyle name="Normal 8 2 3 8 2 2" xfId="15368" xr:uid="{6351B6CA-D43D-47ED-8FCE-215AFA109B34}"/>
    <cellStyle name="Normal 8 2 3 8 2 3" xfId="23815" xr:uid="{358792B8-1A92-4832-B4B1-84319C41255C}"/>
    <cellStyle name="Normal 8 2 3 8 3" xfId="11150" xr:uid="{535A828E-1530-454E-84FD-DB88E1C8AB7D}"/>
    <cellStyle name="Normal 8 2 3 8 4" xfId="19598" xr:uid="{CD90ED3A-FC89-4646-8CCA-735590D5F9AD}"/>
    <cellStyle name="Normal 8 2 3 9" xfId="4853" xr:uid="{00000000-0005-0000-0000-0000E21C0000}"/>
    <cellStyle name="Normal 8 2 3 9 2" xfId="13303" xr:uid="{1D681AFE-89F8-47E6-B0A0-69DA6BD0C00E}"/>
    <cellStyle name="Normal 8 2 3 9 3" xfId="21750" xr:uid="{23C9FBA2-FFE8-449E-BFBA-402DBAB781E6}"/>
    <cellStyle name="Normal 8 2 4" xfId="492" xr:uid="{00000000-0005-0000-0000-0000E31C0000}"/>
    <cellStyle name="Normal 8 2 4 10" xfId="17537" xr:uid="{8CD6CCEE-DF0D-40E2-BC04-56D75EE04EE1}"/>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2 2 2" xfId="15866" xr:uid="{7C9255EA-2139-485D-9811-528E6AD15C0D}"/>
    <cellStyle name="Normal 8 2 4 2 2 2 2 3" xfId="24313" xr:uid="{8E75186B-418C-4575-AAE2-279CBDC58D5E}"/>
    <cellStyle name="Normal 8 2 4 2 2 2 3" xfId="11648" xr:uid="{F69A7F65-1771-47A2-AEE6-B1C9E2AE8E24}"/>
    <cellStyle name="Normal 8 2 4 2 2 2 4" xfId="20096" xr:uid="{3F637031-1D99-4AF3-B1CE-18F571E0DD26}"/>
    <cellStyle name="Normal 8 2 4 2 2 3" xfId="5271" xr:uid="{00000000-0005-0000-0000-0000E81C0000}"/>
    <cellStyle name="Normal 8 2 4 2 2 3 2" xfId="13721" xr:uid="{0E78CE51-4C86-4BB0-9CC7-0B48461D4823}"/>
    <cellStyle name="Normal 8 2 4 2 2 3 3" xfId="22168" xr:uid="{D510410E-CF73-42D0-AA36-59898ADAADAE}"/>
    <cellStyle name="Normal 8 2 4 2 2 4" xfId="9503" xr:uid="{E5F0368D-AE2A-44BA-964E-728EB34BE145}"/>
    <cellStyle name="Normal 8 2 4 2 2 5" xfId="17951" xr:uid="{EE9EE042-6D02-41CC-A1CA-A36244F0D4BD}"/>
    <cellStyle name="Normal 8 2 4 2 3" xfId="1377" xr:uid="{00000000-0005-0000-0000-0000E91C0000}"/>
    <cellStyle name="Normal 8 2 4 2 3 2" xfId="3607" xr:uid="{00000000-0005-0000-0000-0000EA1C0000}"/>
    <cellStyle name="Normal 8 2 4 2 3 2 2" xfId="7829" xr:uid="{00000000-0005-0000-0000-0000EB1C0000}"/>
    <cellStyle name="Normal 8 2 4 2 3 2 2 2" xfId="16279" xr:uid="{3A3D5918-4409-4AEF-84DC-B63BB27C9B25}"/>
    <cellStyle name="Normal 8 2 4 2 3 2 2 3" xfId="24726" xr:uid="{AC61B228-BC27-4143-A53E-2587680F1F70}"/>
    <cellStyle name="Normal 8 2 4 2 3 2 3" xfId="12061" xr:uid="{3BE6EE75-F4A3-4CE0-A171-6E52193CAF4C}"/>
    <cellStyle name="Normal 8 2 4 2 3 2 4" xfId="20509" xr:uid="{5C0C3A5C-1276-4AB2-A0B4-84248053015A}"/>
    <cellStyle name="Normal 8 2 4 2 3 3" xfId="5684" xr:uid="{00000000-0005-0000-0000-0000EC1C0000}"/>
    <cellStyle name="Normal 8 2 4 2 3 3 2" xfId="14134" xr:uid="{785E2DEB-A158-4740-911C-B1A8A5C2B616}"/>
    <cellStyle name="Normal 8 2 4 2 3 3 3" xfId="22581" xr:uid="{7707B5A5-BDCB-4CC3-94A0-74C47A2F8FFF}"/>
    <cellStyle name="Normal 8 2 4 2 3 4" xfId="9916" xr:uid="{AFA15EA7-4513-4C80-8686-F582BD9E2188}"/>
    <cellStyle name="Normal 8 2 4 2 3 5" xfId="18364" xr:uid="{D418E703-41D2-4A4E-AD1E-02FEB78CF595}"/>
    <cellStyle name="Normal 8 2 4 2 4" xfId="1790" xr:uid="{00000000-0005-0000-0000-0000ED1C0000}"/>
    <cellStyle name="Normal 8 2 4 2 4 2" xfId="4020" xr:uid="{00000000-0005-0000-0000-0000EE1C0000}"/>
    <cellStyle name="Normal 8 2 4 2 4 2 2" xfId="8242" xr:uid="{00000000-0005-0000-0000-0000EF1C0000}"/>
    <cellStyle name="Normal 8 2 4 2 4 2 2 2" xfId="16692" xr:uid="{3B7118BE-0D78-42D3-859F-81A095E3E53E}"/>
    <cellStyle name="Normal 8 2 4 2 4 2 2 3" xfId="25139" xr:uid="{54B54CD8-14FE-432A-834B-DA75CFA43E56}"/>
    <cellStyle name="Normal 8 2 4 2 4 2 3" xfId="12474" xr:uid="{0A19BA22-EAE2-46CF-A729-3811DA1C669E}"/>
    <cellStyle name="Normal 8 2 4 2 4 2 4" xfId="20922" xr:uid="{AD5DDF0A-5675-4F90-850F-804AE74900F4}"/>
    <cellStyle name="Normal 8 2 4 2 4 3" xfId="6097" xr:uid="{00000000-0005-0000-0000-0000F01C0000}"/>
    <cellStyle name="Normal 8 2 4 2 4 3 2" xfId="14547" xr:uid="{ABF0D709-E1A0-405B-95A1-B1A668AE2A38}"/>
    <cellStyle name="Normal 8 2 4 2 4 3 3" xfId="22994" xr:uid="{299494A4-645E-4974-9F91-0D7C799AF5C0}"/>
    <cellStyle name="Normal 8 2 4 2 4 4" xfId="10329" xr:uid="{47FD49D0-E117-4FC9-AD82-F56F09A15C90}"/>
    <cellStyle name="Normal 8 2 4 2 4 5" xfId="18777" xr:uid="{85F25A73-14A0-43AF-BF76-3C889182C252}"/>
    <cellStyle name="Normal 8 2 4 2 5" xfId="2204" xr:uid="{00000000-0005-0000-0000-0000F11C0000}"/>
    <cellStyle name="Normal 8 2 4 2 5 2" xfId="4433" xr:uid="{00000000-0005-0000-0000-0000F21C0000}"/>
    <cellStyle name="Normal 8 2 4 2 5 2 2" xfId="8655" xr:uid="{00000000-0005-0000-0000-0000F31C0000}"/>
    <cellStyle name="Normal 8 2 4 2 5 2 2 2" xfId="17105" xr:uid="{984AA93B-0431-4038-A5F6-DB9DF243A3A9}"/>
    <cellStyle name="Normal 8 2 4 2 5 2 2 3" xfId="25552" xr:uid="{C4B3A41B-9B02-44F3-AD71-E32A5B423ABE}"/>
    <cellStyle name="Normal 8 2 4 2 5 2 3" xfId="12887" xr:uid="{DB02AC91-6EC2-4EA1-8B75-D03D74223008}"/>
    <cellStyle name="Normal 8 2 4 2 5 2 4" xfId="21335" xr:uid="{6E286384-2F19-481A-9940-05D450567E33}"/>
    <cellStyle name="Normal 8 2 4 2 5 3" xfId="6510" xr:uid="{00000000-0005-0000-0000-0000F41C0000}"/>
    <cellStyle name="Normal 8 2 4 2 5 3 2" xfId="14960" xr:uid="{FFF3E025-CA3F-485C-B25C-632C2E1E55C8}"/>
    <cellStyle name="Normal 8 2 4 2 5 3 3" xfId="23407" xr:uid="{5F4783B9-0BAA-4AB5-AF3A-09EA1428DDE2}"/>
    <cellStyle name="Normal 8 2 4 2 5 4" xfId="10742" xr:uid="{B8B3A269-BCD5-4A13-AA56-42A7D8CCC8CE}"/>
    <cellStyle name="Normal 8 2 4 2 5 5" xfId="19190" xr:uid="{3E7A132C-370D-44C2-95B6-220162D83FB2}"/>
    <cellStyle name="Normal 8 2 4 2 6" xfId="2640" xr:uid="{00000000-0005-0000-0000-0000F51C0000}"/>
    <cellStyle name="Normal 8 2 4 2 6 2" xfId="6923" xr:uid="{00000000-0005-0000-0000-0000F61C0000}"/>
    <cellStyle name="Normal 8 2 4 2 6 2 2" xfId="15373" xr:uid="{C704E5C9-2E53-4311-A577-77CE7998B142}"/>
    <cellStyle name="Normal 8 2 4 2 6 2 3" xfId="23820" xr:uid="{55025A2F-2570-4480-A606-6A043C6BA89D}"/>
    <cellStyle name="Normal 8 2 4 2 6 3" xfId="11155" xr:uid="{4F44A076-E932-4B98-A6DE-3AFCAF15190F}"/>
    <cellStyle name="Normal 8 2 4 2 6 4" xfId="19603" xr:uid="{5EF2337A-3978-497F-8615-4583C34A8892}"/>
    <cellStyle name="Normal 8 2 4 2 7" xfId="4858" xr:uid="{00000000-0005-0000-0000-0000F71C0000}"/>
    <cellStyle name="Normal 8 2 4 2 7 2" xfId="13308" xr:uid="{14EC94B3-A4C5-4E18-9817-36B6F8F7F32E}"/>
    <cellStyle name="Normal 8 2 4 2 7 3" xfId="21755" xr:uid="{F922F136-742A-4CDC-ADC1-05F708507573}"/>
    <cellStyle name="Normal 8 2 4 2 8" xfId="9090" xr:uid="{A3C17EE7-049F-497A-A4D7-A81F0259203C}"/>
    <cellStyle name="Normal 8 2 4 2 9" xfId="17538" xr:uid="{D4BDC18F-D28D-4CD7-B70F-6F8AD79CE28C}"/>
    <cellStyle name="Normal 8 2 4 3" xfId="959" xr:uid="{00000000-0005-0000-0000-0000F81C0000}"/>
    <cellStyle name="Normal 8 2 4 3 2" xfId="3193" xr:uid="{00000000-0005-0000-0000-0000F91C0000}"/>
    <cellStyle name="Normal 8 2 4 3 2 2" xfId="7415" xr:uid="{00000000-0005-0000-0000-0000FA1C0000}"/>
    <cellStyle name="Normal 8 2 4 3 2 2 2" xfId="15865" xr:uid="{28754D75-9DA2-4FF9-8D86-65944659637C}"/>
    <cellStyle name="Normal 8 2 4 3 2 2 3" xfId="24312" xr:uid="{F01B456D-2DE9-4ED1-A511-08334D9E246C}"/>
    <cellStyle name="Normal 8 2 4 3 2 3" xfId="11647" xr:uid="{531BA9BD-D711-4BEF-B75A-86A75980215D}"/>
    <cellStyle name="Normal 8 2 4 3 2 4" xfId="20095" xr:uid="{DA39D247-BE30-4943-A3EC-D8F9680A4BB8}"/>
    <cellStyle name="Normal 8 2 4 3 3" xfId="5270" xr:uid="{00000000-0005-0000-0000-0000FB1C0000}"/>
    <cellStyle name="Normal 8 2 4 3 3 2" xfId="13720" xr:uid="{B0536DF5-7F73-49EC-B8E2-A825274C4194}"/>
    <cellStyle name="Normal 8 2 4 3 3 3" xfId="22167" xr:uid="{353FD8C8-E277-41F5-92A3-34F5BFF89760}"/>
    <cellStyle name="Normal 8 2 4 3 4" xfId="9502" xr:uid="{CF9B6690-7FD4-4656-A957-4F137BE89DCC}"/>
    <cellStyle name="Normal 8 2 4 3 5" xfId="17950" xr:uid="{E0B6DA8E-067D-4607-BA05-D012054E859B}"/>
    <cellStyle name="Normal 8 2 4 4" xfId="1376" xr:uid="{00000000-0005-0000-0000-0000FC1C0000}"/>
    <cellStyle name="Normal 8 2 4 4 2" xfId="3606" xr:uid="{00000000-0005-0000-0000-0000FD1C0000}"/>
    <cellStyle name="Normal 8 2 4 4 2 2" xfId="7828" xr:uid="{00000000-0005-0000-0000-0000FE1C0000}"/>
    <cellStyle name="Normal 8 2 4 4 2 2 2" xfId="16278" xr:uid="{39B2B78F-3EC9-47F4-BBC2-74B889ADA4B4}"/>
    <cellStyle name="Normal 8 2 4 4 2 2 3" xfId="24725" xr:uid="{B589B2A8-B9B0-4D70-AAA8-4BCBD39BF92D}"/>
    <cellStyle name="Normal 8 2 4 4 2 3" xfId="12060" xr:uid="{DA28EDB9-D3EB-49CB-851F-90D4DD5BC55B}"/>
    <cellStyle name="Normal 8 2 4 4 2 4" xfId="20508" xr:uid="{B82F58BD-161B-43C1-A27A-2C841E21680C}"/>
    <cellStyle name="Normal 8 2 4 4 3" xfId="5683" xr:uid="{00000000-0005-0000-0000-0000FF1C0000}"/>
    <cellStyle name="Normal 8 2 4 4 3 2" xfId="14133" xr:uid="{98A22C26-2912-40D0-A5CD-8AB796068C05}"/>
    <cellStyle name="Normal 8 2 4 4 3 3" xfId="22580" xr:uid="{78FC3BC7-6B48-4187-9DC0-F1BCA84D7501}"/>
    <cellStyle name="Normal 8 2 4 4 4" xfId="9915" xr:uid="{4CF62880-25A6-45E3-A106-695ED01AF09B}"/>
    <cellStyle name="Normal 8 2 4 4 5" xfId="18363" xr:uid="{BE475CC9-C865-4336-8574-5B7DB253C178}"/>
    <cellStyle name="Normal 8 2 4 5" xfId="1789" xr:uid="{00000000-0005-0000-0000-0000001D0000}"/>
    <cellStyle name="Normal 8 2 4 5 2" xfId="4019" xr:uid="{00000000-0005-0000-0000-0000011D0000}"/>
    <cellStyle name="Normal 8 2 4 5 2 2" xfId="8241" xr:uid="{00000000-0005-0000-0000-0000021D0000}"/>
    <cellStyle name="Normal 8 2 4 5 2 2 2" xfId="16691" xr:uid="{C5824B2A-2228-45F7-B5CB-A208D0BC0CAD}"/>
    <cellStyle name="Normal 8 2 4 5 2 2 3" xfId="25138" xr:uid="{1CE4AC2F-C965-4E5C-BC8E-A208352C5B73}"/>
    <cellStyle name="Normal 8 2 4 5 2 3" xfId="12473" xr:uid="{48A8F8E7-7876-4028-B65E-7C020ECB319B}"/>
    <cellStyle name="Normal 8 2 4 5 2 4" xfId="20921" xr:uid="{C1E874C4-1B5B-4D80-A1FB-2CC53F7D468F}"/>
    <cellStyle name="Normal 8 2 4 5 3" xfId="6096" xr:uid="{00000000-0005-0000-0000-0000031D0000}"/>
    <cellStyle name="Normal 8 2 4 5 3 2" xfId="14546" xr:uid="{909F662E-58C3-4FA3-88FE-C6EF43FD2757}"/>
    <cellStyle name="Normal 8 2 4 5 3 3" xfId="22993" xr:uid="{270FE8D6-C558-42B7-8888-62795E4DDBD4}"/>
    <cellStyle name="Normal 8 2 4 5 4" xfId="10328" xr:uid="{82CB88AF-103A-4B54-AC9B-64B54228B705}"/>
    <cellStyle name="Normal 8 2 4 5 5" xfId="18776" xr:uid="{98AAED0E-4010-4CCA-9215-93CE8B7D7607}"/>
    <cellStyle name="Normal 8 2 4 6" xfId="2203" xr:uid="{00000000-0005-0000-0000-0000041D0000}"/>
    <cellStyle name="Normal 8 2 4 6 2" xfId="4432" xr:uid="{00000000-0005-0000-0000-0000051D0000}"/>
    <cellStyle name="Normal 8 2 4 6 2 2" xfId="8654" xr:uid="{00000000-0005-0000-0000-0000061D0000}"/>
    <cellStyle name="Normal 8 2 4 6 2 2 2" xfId="17104" xr:uid="{615704FF-5C84-4CF6-B643-8D83431CA757}"/>
    <cellStyle name="Normal 8 2 4 6 2 2 3" xfId="25551" xr:uid="{462F3DC6-8A7A-4A66-92AA-2E88AD9C717D}"/>
    <cellStyle name="Normal 8 2 4 6 2 3" xfId="12886" xr:uid="{F637ABD6-72BD-4E42-AE4E-618AC6F394BD}"/>
    <cellStyle name="Normal 8 2 4 6 2 4" xfId="21334" xr:uid="{45960E52-531C-4499-9FF0-EA96579784B7}"/>
    <cellStyle name="Normal 8 2 4 6 3" xfId="6509" xr:uid="{00000000-0005-0000-0000-0000071D0000}"/>
    <cellStyle name="Normal 8 2 4 6 3 2" xfId="14959" xr:uid="{8CA5093C-DA81-4128-9DE6-65F555318CE0}"/>
    <cellStyle name="Normal 8 2 4 6 3 3" xfId="23406" xr:uid="{922E0118-8E8A-4933-AD93-33057DC9EB08}"/>
    <cellStyle name="Normal 8 2 4 6 4" xfId="10741" xr:uid="{FEFB91B2-5AC9-4F56-A1FE-3DB45C5FB79F}"/>
    <cellStyle name="Normal 8 2 4 6 5" xfId="19189" xr:uid="{783BB302-3CF4-4CB9-96BC-01A490747227}"/>
    <cellStyle name="Normal 8 2 4 7" xfId="2639" xr:uid="{00000000-0005-0000-0000-0000081D0000}"/>
    <cellStyle name="Normal 8 2 4 7 2" xfId="6922" xr:uid="{00000000-0005-0000-0000-0000091D0000}"/>
    <cellStyle name="Normal 8 2 4 7 2 2" xfId="15372" xr:uid="{20F87E3F-D0D7-4315-AD67-594E90FCD925}"/>
    <cellStyle name="Normal 8 2 4 7 2 3" xfId="23819" xr:uid="{E55C0312-94D6-4530-ADB4-1DB23D8CD742}"/>
    <cellStyle name="Normal 8 2 4 7 3" xfId="11154" xr:uid="{CDC6232D-5379-4DDA-BC55-F86E5F1C6EC6}"/>
    <cellStyle name="Normal 8 2 4 7 4" xfId="19602" xr:uid="{161C1C0E-DBC8-423C-8114-0DD04D9D81E6}"/>
    <cellStyle name="Normal 8 2 4 8" xfId="4857" xr:uid="{00000000-0005-0000-0000-00000A1D0000}"/>
    <cellStyle name="Normal 8 2 4 8 2" xfId="13307" xr:uid="{ACF66CD7-06D7-4E55-A615-0A2B4550EC95}"/>
    <cellStyle name="Normal 8 2 4 8 3" xfId="21754" xr:uid="{90F47EC0-ED37-4876-8E0D-AA09723CCB36}"/>
    <cellStyle name="Normal 8 2 4 9" xfId="9089" xr:uid="{D77717A9-3F76-494F-BAB5-54E515302445}"/>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2 2 2" xfId="15867" xr:uid="{6D02F1A7-6A13-43AB-BB24-6CEAEBB06159}"/>
    <cellStyle name="Normal 8 2 5 2 2 2 3" xfId="24314" xr:uid="{58BD368D-E875-449D-B1BA-FCC0713ED6AD}"/>
    <cellStyle name="Normal 8 2 5 2 2 3" xfId="11649" xr:uid="{53CF80B7-C9C3-411D-A645-1725883E16EC}"/>
    <cellStyle name="Normal 8 2 5 2 2 4" xfId="20097" xr:uid="{6646A67B-AB9C-4695-9AED-506DA7294778}"/>
    <cellStyle name="Normal 8 2 5 2 3" xfId="5272" xr:uid="{00000000-0005-0000-0000-00000F1D0000}"/>
    <cellStyle name="Normal 8 2 5 2 3 2" xfId="13722" xr:uid="{5FABFD66-7788-4794-99F4-B926E9A0769C}"/>
    <cellStyle name="Normal 8 2 5 2 3 3" xfId="22169" xr:uid="{5D936224-6288-412C-8DF1-AEB07E24EF24}"/>
    <cellStyle name="Normal 8 2 5 2 4" xfId="9504" xr:uid="{F7704B66-6C32-4A9D-A0C5-9C727575DF7B}"/>
    <cellStyle name="Normal 8 2 5 2 5" xfId="17952" xr:uid="{5624B102-C38D-4BD8-AFAA-DD04388D5FF0}"/>
    <cellStyle name="Normal 8 2 5 3" xfId="1378" xr:uid="{00000000-0005-0000-0000-0000101D0000}"/>
    <cellStyle name="Normal 8 2 5 3 2" xfId="3608" xr:uid="{00000000-0005-0000-0000-0000111D0000}"/>
    <cellStyle name="Normal 8 2 5 3 2 2" xfId="7830" xr:uid="{00000000-0005-0000-0000-0000121D0000}"/>
    <cellStyle name="Normal 8 2 5 3 2 2 2" xfId="16280" xr:uid="{42A9BD9F-406E-42EB-834E-33F53E46EDE6}"/>
    <cellStyle name="Normal 8 2 5 3 2 2 3" xfId="24727" xr:uid="{D0DD00F7-645B-4394-8A0B-14D3BE5555A2}"/>
    <cellStyle name="Normal 8 2 5 3 2 3" xfId="12062" xr:uid="{8948BC72-AF19-405D-9DF4-2BEA23421F31}"/>
    <cellStyle name="Normal 8 2 5 3 2 4" xfId="20510" xr:uid="{469EDE04-1DEC-4EED-82EF-3E7CD882FC7F}"/>
    <cellStyle name="Normal 8 2 5 3 3" xfId="5685" xr:uid="{00000000-0005-0000-0000-0000131D0000}"/>
    <cellStyle name="Normal 8 2 5 3 3 2" xfId="14135" xr:uid="{DC8ABAD8-A8E6-4A96-AC6E-BC371BDBE449}"/>
    <cellStyle name="Normal 8 2 5 3 3 3" xfId="22582" xr:uid="{A96EBE59-C77E-49DD-BF53-C284D3B08F34}"/>
    <cellStyle name="Normal 8 2 5 3 4" xfId="9917" xr:uid="{2CA13C6A-9FF6-422F-BF72-70062A01C699}"/>
    <cellStyle name="Normal 8 2 5 3 5" xfId="18365" xr:uid="{841E9A1E-ADC8-43A8-92A6-16FD5754A64B}"/>
    <cellStyle name="Normal 8 2 5 4" xfId="1791" xr:uid="{00000000-0005-0000-0000-0000141D0000}"/>
    <cellStyle name="Normal 8 2 5 4 2" xfId="4021" xr:uid="{00000000-0005-0000-0000-0000151D0000}"/>
    <cellStyle name="Normal 8 2 5 4 2 2" xfId="8243" xr:uid="{00000000-0005-0000-0000-0000161D0000}"/>
    <cellStyle name="Normal 8 2 5 4 2 2 2" xfId="16693" xr:uid="{308C843C-DE91-4E93-8599-409BE250D4C2}"/>
    <cellStyle name="Normal 8 2 5 4 2 2 3" xfId="25140" xr:uid="{90B39FE2-FF6E-4E6E-B963-166A9A348A85}"/>
    <cellStyle name="Normal 8 2 5 4 2 3" xfId="12475" xr:uid="{4EDED1FC-E058-4DC7-AF38-E3336164D297}"/>
    <cellStyle name="Normal 8 2 5 4 2 4" xfId="20923" xr:uid="{4A6135C8-4C87-4D4E-A7DC-EF6F33BF08E9}"/>
    <cellStyle name="Normal 8 2 5 4 3" xfId="6098" xr:uid="{00000000-0005-0000-0000-0000171D0000}"/>
    <cellStyle name="Normal 8 2 5 4 3 2" xfId="14548" xr:uid="{8A5A8647-F333-4EAC-8F71-AE83E601F173}"/>
    <cellStyle name="Normal 8 2 5 4 3 3" xfId="22995" xr:uid="{AC0158C3-9F42-4B8A-A512-61F355A363BD}"/>
    <cellStyle name="Normal 8 2 5 4 4" xfId="10330" xr:uid="{E7D978E8-E76F-430C-90B6-5A80BDBCEF02}"/>
    <cellStyle name="Normal 8 2 5 4 5" xfId="18778" xr:uid="{F904755B-20E5-4682-A30A-BAE4818CD7BE}"/>
    <cellStyle name="Normal 8 2 5 5" xfId="2205" xr:uid="{00000000-0005-0000-0000-0000181D0000}"/>
    <cellStyle name="Normal 8 2 5 5 2" xfId="4434" xr:uid="{00000000-0005-0000-0000-0000191D0000}"/>
    <cellStyle name="Normal 8 2 5 5 2 2" xfId="8656" xr:uid="{00000000-0005-0000-0000-00001A1D0000}"/>
    <cellStyle name="Normal 8 2 5 5 2 2 2" xfId="17106" xr:uid="{0CF1A064-7B8A-4857-8060-0487455653A3}"/>
    <cellStyle name="Normal 8 2 5 5 2 2 3" xfId="25553" xr:uid="{EF8DF276-4048-4704-B348-F355EC86A9EB}"/>
    <cellStyle name="Normal 8 2 5 5 2 3" xfId="12888" xr:uid="{82ABCEAE-6BB3-4FA6-8191-36AE4EA1336F}"/>
    <cellStyle name="Normal 8 2 5 5 2 4" xfId="21336" xr:uid="{FA01A96E-FAA2-4867-AE2C-D651AD75E965}"/>
    <cellStyle name="Normal 8 2 5 5 3" xfId="6511" xr:uid="{00000000-0005-0000-0000-00001B1D0000}"/>
    <cellStyle name="Normal 8 2 5 5 3 2" xfId="14961" xr:uid="{4E984C5B-A6D6-4DC2-8765-1E3F41C15068}"/>
    <cellStyle name="Normal 8 2 5 5 3 3" xfId="23408" xr:uid="{C3F78762-2652-400F-9344-25F93F7D4758}"/>
    <cellStyle name="Normal 8 2 5 5 4" xfId="10743" xr:uid="{D5F8004C-31AC-415C-8B22-676F44788ED7}"/>
    <cellStyle name="Normal 8 2 5 5 5" xfId="19191" xr:uid="{943AB642-08E6-4BAD-8655-7ECB4EED7814}"/>
    <cellStyle name="Normal 8 2 5 6" xfId="2641" xr:uid="{00000000-0005-0000-0000-00001C1D0000}"/>
    <cellStyle name="Normal 8 2 5 6 2" xfId="6924" xr:uid="{00000000-0005-0000-0000-00001D1D0000}"/>
    <cellStyle name="Normal 8 2 5 6 2 2" xfId="15374" xr:uid="{C9EAE70E-95AC-421D-8B3F-A1A86E21890D}"/>
    <cellStyle name="Normal 8 2 5 6 2 3" xfId="23821" xr:uid="{DCC5D70A-478B-4088-B3BF-554CAB207086}"/>
    <cellStyle name="Normal 8 2 5 6 3" xfId="11156" xr:uid="{5CBDEF0A-4DDA-4A40-B8ED-51F539F43BC5}"/>
    <cellStyle name="Normal 8 2 5 6 4" xfId="19604" xr:uid="{A1FD06F1-0C50-4264-B711-EB43CB79ABD1}"/>
    <cellStyle name="Normal 8 2 5 7" xfId="4859" xr:uid="{00000000-0005-0000-0000-00001E1D0000}"/>
    <cellStyle name="Normal 8 2 5 7 2" xfId="13309" xr:uid="{297159CC-93D5-4C95-B4AA-C04DF4AA68EA}"/>
    <cellStyle name="Normal 8 2 5 7 3" xfId="21756" xr:uid="{07CAE56E-C062-4EB4-B08C-FB04B94F7922}"/>
    <cellStyle name="Normal 8 2 5 8" xfId="9091" xr:uid="{8B937B6E-DFC0-48C9-8D36-931DCA47036F}"/>
    <cellStyle name="Normal 8 2 5 9" xfId="17539" xr:uid="{77D7110D-A15A-4FEC-B085-6FE397840246}"/>
    <cellStyle name="Normal 8 2 6" xfId="946" xr:uid="{00000000-0005-0000-0000-00001F1D0000}"/>
    <cellStyle name="Normal 8 2 6 2" xfId="3180" xr:uid="{00000000-0005-0000-0000-0000201D0000}"/>
    <cellStyle name="Normal 8 2 6 2 2" xfId="7402" xr:uid="{00000000-0005-0000-0000-0000211D0000}"/>
    <cellStyle name="Normal 8 2 6 2 2 2" xfId="15852" xr:uid="{B4138868-DC1A-4E0F-9B19-4B13EAC2A2E7}"/>
    <cellStyle name="Normal 8 2 6 2 2 3" xfId="24299" xr:uid="{B5BB10AD-4E7F-469D-9440-6EC553F6681A}"/>
    <cellStyle name="Normal 8 2 6 2 3" xfId="11634" xr:uid="{802C5047-B916-4A08-8E27-F09BF9139692}"/>
    <cellStyle name="Normal 8 2 6 2 4" xfId="20082" xr:uid="{EFD33BB1-08C8-48EB-8C07-19959F9C9F82}"/>
    <cellStyle name="Normal 8 2 6 3" xfId="5257" xr:uid="{00000000-0005-0000-0000-0000221D0000}"/>
    <cellStyle name="Normal 8 2 6 3 2" xfId="13707" xr:uid="{E33A2A6C-95D0-453C-A791-243A1BAB7BF3}"/>
    <cellStyle name="Normal 8 2 6 3 3" xfId="22154" xr:uid="{F636F999-67B8-48FC-BEA3-098171A6822A}"/>
    <cellStyle name="Normal 8 2 6 4" xfId="9489" xr:uid="{B98B18DE-AC89-423E-ACBB-DA7C6DD02B84}"/>
    <cellStyle name="Normal 8 2 6 5" xfId="17937" xr:uid="{79C4B54C-9071-4F26-ACDD-36EA60EA4F5F}"/>
    <cellStyle name="Normal 8 2 7" xfId="1363" xr:uid="{00000000-0005-0000-0000-0000231D0000}"/>
    <cellStyle name="Normal 8 2 7 2" xfId="3593" xr:uid="{00000000-0005-0000-0000-0000241D0000}"/>
    <cellStyle name="Normal 8 2 7 2 2" xfId="7815" xr:uid="{00000000-0005-0000-0000-0000251D0000}"/>
    <cellStyle name="Normal 8 2 7 2 2 2" xfId="16265" xr:uid="{5FD9276C-58A2-44BE-B542-11B5A377B5EC}"/>
    <cellStyle name="Normal 8 2 7 2 2 3" xfId="24712" xr:uid="{7886E46B-A843-45D3-BE4F-038995339950}"/>
    <cellStyle name="Normal 8 2 7 2 3" xfId="12047" xr:uid="{01828BAF-82B5-4E57-97C7-F98992071C9B}"/>
    <cellStyle name="Normal 8 2 7 2 4" xfId="20495" xr:uid="{53D43BA6-1F06-402F-9BE2-44BAE8260A47}"/>
    <cellStyle name="Normal 8 2 7 3" xfId="5670" xr:uid="{00000000-0005-0000-0000-0000261D0000}"/>
    <cellStyle name="Normal 8 2 7 3 2" xfId="14120" xr:uid="{DF089D99-1376-4C2C-8440-7C7EF6D68CB6}"/>
    <cellStyle name="Normal 8 2 7 3 3" xfId="22567" xr:uid="{459FB46C-E538-4E15-8935-61C1E1F7459A}"/>
    <cellStyle name="Normal 8 2 7 4" xfId="9902" xr:uid="{4677C859-EBF2-4FE2-8042-338194AD1513}"/>
    <cellStyle name="Normal 8 2 7 5" xfId="18350" xr:uid="{5868742B-09F7-4CF4-8E28-4A25C3105D29}"/>
    <cellStyle name="Normal 8 2 8" xfId="1776" xr:uid="{00000000-0005-0000-0000-0000271D0000}"/>
    <cellStyle name="Normal 8 2 8 2" xfId="4006" xr:uid="{00000000-0005-0000-0000-0000281D0000}"/>
    <cellStyle name="Normal 8 2 8 2 2" xfId="8228" xr:uid="{00000000-0005-0000-0000-0000291D0000}"/>
    <cellStyle name="Normal 8 2 8 2 2 2" xfId="16678" xr:uid="{67C72DA8-CD3A-4680-99C5-E54EC044C6F1}"/>
    <cellStyle name="Normal 8 2 8 2 2 3" xfId="25125" xr:uid="{8B6EA8C5-6829-4A14-9787-DDFC077E48D9}"/>
    <cellStyle name="Normal 8 2 8 2 3" xfId="12460" xr:uid="{A9B36484-B81E-4870-A418-7A00DD800F70}"/>
    <cellStyle name="Normal 8 2 8 2 4" xfId="20908" xr:uid="{394CC367-51D3-47C0-90CC-7E971B017E8F}"/>
    <cellStyle name="Normal 8 2 8 3" xfId="6083" xr:uid="{00000000-0005-0000-0000-00002A1D0000}"/>
    <cellStyle name="Normal 8 2 8 3 2" xfId="14533" xr:uid="{FE432383-4DC6-4B24-858A-D6A896F00FBC}"/>
    <cellStyle name="Normal 8 2 8 3 3" xfId="22980" xr:uid="{F06F5D8D-C71B-42C1-8886-A64B2608B5B2}"/>
    <cellStyle name="Normal 8 2 8 4" xfId="10315" xr:uid="{624EE9A2-6E73-48E7-A434-9B32B9CB3719}"/>
    <cellStyle name="Normal 8 2 8 5" xfId="18763" xr:uid="{83896AC9-1999-4EA9-8CAB-FD59F7375D3C}"/>
    <cellStyle name="Normal 8 2 9" xfId="2190" xr:uid="{00000000-0005-0000-0000-00002B1D0000}"/>
    <cellStyle name="Normal 8 2 9 2" xfId="4419" xr:uid="{00000000-0005-0000-0000-00002C1D0000}"/>
    <cellStyle name="Normal 8 2 9 2 2" xfId="8641" xr:uid="{00000000-0005-0000-0000-00002D1D0000}"/>
    <cellStyle name="Normal 8 2 9 2 2 2" xfId="17091" xr:uid="{7E25B186-9B57-4276-9BA3-7C429425CC96}"/>
    <cellStyle name="Normal 8 2 9 2 2 3" xfId="25538" xr:uid="{B1B9B841-4E34-4EC4-8A8E-E7CC7ECE3037}"/>
    <cellStyle name="Normal 8 2 9 2 3" xfId="12873" xr:uid="{2D25B6F1-1A85-4503-9F45-76E5C06515B1}"/>
    <cellStyle name="Normal 8 2 9 2 4" xfId="21321" xr:uid="{2F89843F-D857-4B03-8A2A-52DD06E2639A}"/>
    <cellStyle name="Normal 8 2 9 3" xfId="6496" xr:uid="{00000000-0005-0000-0000-00002E1D0000}"/>
    <cellStyle name="Normal 8 2 9 3 2" xfId="14946" xr:uid="{A4443E97-5BC7-409A-B64D-D687C60A7643}"/>
    <cellStyle name="Normal 8 2 9 3 3" xfId="23393" xr:uid="{882C0CFF-7F24-4E75-A8C3-0C1553723BE5}"/>
    <cellStyle name="Normal 8 2 9 4" xfId="10728" xr:uid="{FE1841D0-7EFA-462D-BD48-92E50EB5DFBC}"/>
    <cellStyle name="Normal 8 2 9 5" xfId="19176" xr:uid="{09C759BA-B899-4B29-800F-B61BE5E0F8DA}"/>
    <cellStyle name="Normal 8 3" xfId="495" xr:uid="{00000000-0005-0000-0000-00002F1D0000}"/>
    <cellStyle name="Normal 8 3 10" xfId="4860" xr:uid="{00000000-0005-0000-0000-0000301D0000}"/>
    <cellStyle name="Normal 8 3 10 2" xfId="13310" xr:uid="{979F61D7-90E0-49D6-9086-3C609418A8C7}"/>
    <cellStyle name="Normal 8 3 10 3" xfId="21757" xr:uid="{6CBCFE47-B808-4214-8AD3-B39BC5B6C593}"/>
    <cellStyle name="Normal 8 3 11" xfId="9092" xr:uid="{3C293C97-68C1-4153-8DB6-92F95D7B59EE}"/>
    <cellStyle name="Normal 8 3 12" xfId="17540" xr:uid="{A1DD0AD1-0E5B-4FCB-BCCE-AF84C6D8A9AE}"/>
    <cellStyle name="Normal 8 3 2" xfId="496" xr:uid="{00000000-0005-0000-0000-0000311D0000}"/>
    <cellStyle name="Normal 8 3 2 10" xfId="9093" xr:uid="{5F3FB63C-A59F-4156-BB23-26D012266D53}"/>
    <cellStyle name="Normal 8 3 2 11" xfId="17541" xr:uid="{E0D1A809-8D27-45DB-8845-938FBA4881CB}"/>
    <cellStyle name="Normal 8 3 2 2" xfId="497" xr:uid="{00000000-0005-0000-0000-0000321D0000}"/>
    <cellStyle name="Normal 8 3 2 2 10" xfId="17542" xr:uid="{FE26BC21-AFF9-46F4-9D3E-2E3AD78AC974}"/>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2 2 2" xfId="15871" xr:uid="{8042F1F0-75F0-48D1-8B6F-23863A1130AD}"/>
    <cellStyle name="Normal 8 3 2 2 2 2 2 2 3" xfId="24318" xr:uid="{CA050444-79AF-4852-97DA-0000A4776018}"/>
    <cellStyle name="Normal 8 3 2 2 2 2 2 3" xfId="11653" xr:uid="{52574822-31EC-41CD-907F-624C56B86CB6}"/>
    <cellStyle name="Normal 8 3 2 2 2 2 2 4" xfId="20101" xr:uid="{14FEDB6A-B69D-4405-A5A1-5E8FADD0F3D3}"/>
    <cellStyle name="Normal 8 3 2 2 2 2 3" xfId="5276" xr:uid="{00000000-0005-0000-0000-0000371D0000}"/>
    <cellStyle name="Normal 8 3 2 2 2 2 3 2" xfId="13726" xr:uid="{55695F4A-4937-43AD-B484-45019E767F01}"/>
    <cellStyle name="Normal 8 3 2 2 2 2 3 3" xfId="22173" xr:uid="{E2317927-6C32-47C7-9ED1-074BED07BF47}"/>
    <cellStyle name="Normal 8 3 2 2 2 2 4" xfId="9508" xr:uid="{9ED75776-78A4-4323-924D-9CC57C90A15B}"/>
    <cellStyle name="Normal 8 3 2 2 2 2 5" xfId="17956" xr:uid="{854F06A0-F0E2-4B72-934D-BC479E7F1AC4}"/>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2 2 2" xfId="16284" xr:uid="{F0F27AD9-CA05-45F0-B3DA-1C5607B1DDEA}"/>
    <cellStyle name="Normal 8 3 2 2 2 3 2 2 3" xfId="24731" xr:uid="{F27FAAE2-E848-4333-AA37-7EDC8F37DE38}"/>
    <cellStyle name="Normal 8 3 2 2 2 3 2 3" xfId="12066" xr:uid="{21755650-C867-4B5C-BB08-050C10F8E936}"/>
    <cellStyle name="Normal 8 3 2 2 2 3 2 4" xfId="20514" xr:uid="{BC6DD286-ECD7-4B98-997A-EAD35F8F392B}"/>
    <cellStyle name="Normal 8 3 2 2 2 3 3" xfId="5689" xr:uid="{00000000-0005-0000-0000-00003B1D0000}"/>
    <cellStyle name="Normal 8 3 2 2 2 3 3 2" xfId="14139" xr:uid="{AAD4FB32-869B-48B2-A06E-8E1DF28D126B}"/>
    <cellStyle name="Normal 8 3 2 2 2 3 3 3" xfId="22586" xr:uid="{8786E1AF-D517-4128-B377-33F259962755}"/>
    <cellStyle name="Normal 8 3 2 2 2 3 4" xfId="9921" xr:uid="{C0842BD4-CC80-45CD-A066-A89CA1638978}"/>
    <cellStyle name="Normal 8 3 2 2 2 3 5" xfId="18369" xr:uid="{F59AB1ED-A1AD-4E89-8DD4-A5171CFE826B}"/>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2 2 2" xfId="16697" xr:uid="{575DB0F5-E8FC-4188-9EB5-ABD109C5E2CD}"/>
    <cellStyle name="Normal 8 3 2 2 2 4 2 2 3" xfId="25144" xr:uid="{F2996127-168F-4465-A1FF-A58C39603E94}"/>
    <cellStyle name="Normal 8 3 2 2 2 4 2 3" xfId="12479" xr:uid="{72937E0A-2248-4E01-95E2-5A6AD253D29F}"/>
    <cellStyle name="Normal 8 3 2 2 2 4 2 4" xfId="20927" xr:uid="{DFD12099-36B4-4CAC-AC15-6AA081DE56DA}"/>
    <cellStyle name="Normal 8 3 2 2 2 4 3" xfId="6102" xr:uid="{00000000-0005-0000-0000-00003F1D0000}"/>
    <cellStyle name="Normal 8 3 2 2 2 4 3 2" xfId="14552" xr:uid="{A81B5C0B-6914-4669-8DA0-9A3E6FE83292}"/>
    <cellStyle name="Normal 8 3 2 2 2 4 3 3" xfId="22999" xr:uid="{698E82B0-7887-4102-860F-5C87B27DB5AF}"/>
    <cellStyle name="Normal 8 3 2 2 2 4 4" xfId="10334" xr:uid="{9A0E55C8-90E6-49D6-9726-78179FA219BC}"/>
    <cellStyle name="Normal 8 3 2 2 2 4 5" xfId="18782" xr:uid="{33F1B80C-7469-4F94-9087-FA09344F7766}"/>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2 2 2" xfId="17110" xr:uid="{FCD122A5-1E63-4263-857F-8A2C48CAD044}"/>
    <cellStyle name="Normal 8 3 2 2 2 5 2 2 3" xfId="25557" xr:uid="{CA3678CA-3271-4F64-9294-7863BA2FB0AA}"/>
    <cellStyle name="Normal 8 3 2 2 2 5 2 3" xfId="12892" xr:uid="{9F013B48-A0DC-4ADC-BA72-27AA1BC0A7B4}"/>
    <cellStyle name="Normal 8 3 2 2 2 5 2 4" xfId="21340" xr:uid="{8FEB9C7F-7342-44E6-8899-4CE34FC8E752}"/>
    <cellStyle name="Normal 8 3 2 2 2 5 3" xfId="6515" xr:uid="{00000000-0005-0000-0000-0000431D0000}"/>
    <cellStyle name="Normal 8 3 2 2 2 5 3 2" xfId="14965" xr:uid="{78B75EB0-5406-4159-A475-ED97140DCBBC}"/>
    <cellStyle name="Normal 8 3 2 2 2 5 3 3" xfId="23412" xr:uid="{524D75E3-BFBD-4D52-A153-377874DD4E49}"/>
    <cellStyle name="Normal 8 3 2 2 2 5 4" xfId="10747" xr:uid="{0C636645-57C1-47B1-BDBF-260008D07E59}"/>
    <cellStyle name="Normal 8 3 2 2 2 5 5" xfId="19195" xr:uid="{CAA9728D-B12B-4DF7-89D5-CB9235A0EF22}"/>
    <cellStyle name="Normal 8 3 2 2 2 6" xfId="2645" xr:uid="{00000000-0005-0000-0000-0000441D0000}"/>
    <cellStyle name="Normal 8 3 2 2 2 6 2" xfId="6928" xr:uid="{00000000-0005-0000-0000-0000451D0000}"/>
    <cellStyle name="Normal 8 3 2 2 2 6 2 2" xfId="15378" xr:uid="{C62C86D6-8FA2-4039-A8CC-7DF1B5A17820}"/>
    <cellStyle name="Normal 8 3 2 2 2 6 2 3" xfId="23825" xr:uid="{5CC3B4FA-8086-4417-A19F-CFEA60CF273E}"/>
    <cellStyle name="Normal 8 3 2 2 2 6 3" xfId="11160" xr:uid="{A63F21E1-5A9D-4EA2-8A2D-0AA8E6308789}"/>
    <cellStyle name="Normal 8 3 2 2 2 6 4" xfId="19608" xr:uid="{526A6B2E-98AC-4F18-BB24-6DA4D6BB16F5}"/>
    <cellStyle name="Normal 8 3 2 2 2 7" xfId="4863" xr:uid="{00000000-0005-0000-0000-0000461D0000}"/>
    <cellStyle name="Normal 8 3 2 2 2 7 2" xfId="13313" xr:uid="{195F1488-AE00-45A5-AF28-3AD346C55214}"/>
    <cellStyle name="Normal 8 3 2 2 2 7 3" xfId="21760" xr:uid="{030413B9-87C5-4662-90AA-A8EC97D4F615}"/>
    <cellStyle name="Normal 8 3 2 2 2 8" xfId="9095" xr:uid="{57CF026A-AA0A-492F-9EF4-60F2C06E72A1}"/>
    <cellStyle name="Normal 8 3 2 2 2 9" xfId="17543" xr:uid="{C21205C2-5D63-444F-B9EB-80A5165AA7A5}"/>
    <cellStyle name="Normal 8 3 2 2 3" xfId="964" xr:uid="{00000000-0005-0000-0000-0000471D0000}"/>
    <cellStyle name="Normal 8 3 2 2 3 2" xfId="3198" xr:uid="{00000000-0005-0000-0000-0000481D0000}"/>
    <cellStyle name="Normal 8 3 2 2 3 2 2" xfId="7420" xr:uid="{00000000-0005-0000-0000-0000491D0000}"/>
    <cellStyle name="Normal 8 3 2 2 3 2 2 2" xfId="15870" xr:uid="{60F58EA6-3C54-4A6C-A819-5768A1747151}"/>
    <cellStyle name="Normal 8 3 2 2 3 2 2 3" xfId="24317" xr:uid="{F4361F1A-673E-4C2A-8441-B567B95A88FE}"/>
    <cellStyle name="Normal 8 3 2 2 3 2 3" xfId="11652" xr:uid="{AFA4E90F-BBC5-43FF-B98E-E8525A76D657}"/>
    <cellStyle name="Normal 8 3 2 2 3 2 4" xfId="20100" xr:uid="{0EA18627-FFBA-47CB-A105-28BCFB7D7F8F}"/>
    <cellStyle name="Normal 8 3 2 2 3 3" xfId="5275" xr:uid="{00000000-0005-0000-0000-00004A1D0000}"/>
    <cellStyle name="Normal 8 3 2 2 3 3 2" xfId="13725" xr:uid="{D9FA6AFB-9595-4E2F-A98A-D0870165E57F}"/>
    <cellStyle name="Normal 8 3 2 2 3 3 3" xfId="22172" xr:uid="{7C74DCC3-2D00-4179-BF67-46A04AF321A4}"/>
    <cellStyle name="Normal 8 3 2 2 3 4" xfId="9507" xr:uid="{BB125AEA-6778-4853-9A49-1872571A887E}"/>
    <cellStyle name="Normal 8 3 2 2 3 5" xfId="17955" xr:uid="{D9843BBD-51C2-434F-BF0D-81FF2D3A9F6B}"/>
    <cellStyle name="Normal 8 3 2 2 4" xfId="1381" xr:uid="{00000000-0005-0000-0000-00004B1D0000}"/>
    <cellStyle name="Normal 8 3 2 2 4 2" xfId="3611" xr:uid="{00000000-0005-0000-0000-00004C1D0000}"/>
    <cellStyle name="Normal 8 3 2 2 4 2 2" xfId="7833" xr:uid="{00000000-0005-0000-0000-00004D1D0000}"/>
    <cellStyle name="Normal 8 3 2 2 4 2 2 2" xfId="16283" xr:uid="{2291028E-C36D-4963-B599-037C3D6FD83E}"/>
    <cellStyle name="Normal 8 3 2 2 4 2 2 3" xfId="24730" xr:uid="{38A8087C-560C-45A9-80C6-DECC8398CB91}"/>
    <cellStyle name="Normal 8 3 2 2 4 2 3" xfId="12065" xr:uid="{C2111161-6473-4DAE-8C62-5BE85EE2702E}"/>
    <cellStyle name="Normal 8 3 2 2 4 2 4" xfId="20513" xr:uid="{42D6C378-DE49-4E12-BAD1-9F9F76DA6E0F}"/>
    <cellStyle name="Normal 8 3 2 2 4 3" xfId="5688" xr:uid="{00000000-0005-0000-0000-00004E1D0000}"/>
    <cellStyle name="Normal 8 3 2 2 4 3 2" xfId="14138" xr:uid="{1F709722-C173-42D1-92C7-1975B5F44D39}"/>
    <cellStyle name="Normal 8 3 2 2 4 3 3" xfId="22585" xr:uid="{A43FD930-2569-4138-80B3-263852A2F2BE}"/>
    <cellStyle name="Normal 8 3 2 2 4 4" xfId="9920" xr:uid="{A4D02D14-D877-4951-B2BE-C7322FA39954}"/>
    <cellStyle name="Normal 8 3 2 2 4 5" xfId="18368" xr:uid="{2ED162E3-A975-401D-A295-750A7C79D5D4}"/>
    <cellStyle name="Normal 8 3 2 2 5" xfId="1794" xr:uid="{00000000-0005-0000-0000-00004F1D0000}"/>
    <cellStyle name="Normal 8 3 2 2 5 2" xfId="4024" xr:uid="{00000000-0005-0000-0000-0000501D0000}"/>
    <cellStyle name="Normal 8 3 2 2 5 2 2" xfId="8246" xr:uid="{00000000-0005-0000-0000-0000511D0000}"/>
    <cellStyle name="Normal 8 3 2 2 5 2 2 2" xfId="16696" xr:uid="{FAD34884-20E0-4067-BBBB-B2A092515130}"/>
    <cellStyle name="Normal 8 3 2 2 5 2 2 3" xfId="25143" xr:uid="{EFFF7BC2-3134-4CF9-92B3-107F5D36EF7B}"/>
    <cellStyle name="Normal 8 3 2 2 5 2 3" xfId="12478" xr:uid="{AAAF2C20-2747-4880-B238-B20B81D920B4}"/>
    <cellStyle name="Normal 8 3 2 2 5 2 4" xfId="20926" xr:uid="{D6D05C84-D3FA-4D32-A6C3-947062F45759}"/>
    <cellStyle name="Normal 8 3 2 2 5 3" xfId="6101" xr:uid="{00000000-0005-0000-0000-0000521D0000}"/>
    <cellStyle name="Normal 8 3 2 2 5 3 2" xfId="14551" xr:uid="{D7AB7293-7B6D-4DB5-A6F0-F7253CD6859B}"/>
    <cellStyle name="Normal 8 3 2 2 5 3 3" xfId="22998" xr:uid="{D3C56AB0-C21B-47B4-A206-31BE11D6F180}"/>
    <cellStyle name="Normal 8 3 2 2 5 4" xfId="10333" xr:uid="{0618F304-DE4E-4587-AA73-A8867CD953E0}"/>
    <cellStyle name="Normal 8 3 2 2 5 5" xfId="18781" xr:uid="{9DFD14BC-4DB0-4F8D-A042-45CB0A44C2FA}"/>
    <cellStyle name="Normal 8 3 2 2 6" xfId="2208" xr:uid="{00000000-0005-0000-0000-0000531D0000}"/>
    <cellStyle name="Normal 8 3 2 2 6 2" xfId="4437" xr:uid="{00000000-0005-0000-0000-0000541D0000}"/>
    <cellStyle name="Normal 8 3 2 2 6 2 2" xfId="8659" xr:uid="{00000000-0005-0000-0000-0000551D0000}"/>
    <cellStyle name="Normal 8 3 2 2 6 2 2 2" xfId="17109" xr:uid="{AD2BF9E3-563A-451D-A9B2-A73CB4AE0290}"/>
    <cellStyle name="Normal 8 3 2 2 6 2 2 3" xfId="25556" xr:uid="{F3073D77-A0D6-470C-913C-F75DD75B6740}"/>
    <cellStyle name="Normal 8 3 2 2 6 2 3" xfId="12891" xr:uid="{7E03B243-E2FA-41E1-9275-1BFCA96F956F}"/>
    <cellStyle name="Normal 8 3 2 2 6 2 4" xfId="21339" xr:uid="{2258A763-46FC-42A6-A231-F5B0D9F879D4}"/>
    <cellStyle name="Normal 8 3 2 2 6 3" xfId="6514" xr:uid="{00000000-0005-0000-0000-0000561D0000}"/>
    <cellStyle name="Normal 8 3 2 2 6 3 2" xfId="14964" xr:uid="{509D1F9F-140C-474E-B419-B3D67315703B}"/>
    <cellStyle name="Normal 8 3 2 2 6 3 3" xfId="23411" xr:uid="{94218058-577E-4EAC-805A-D3A819D9B6DF}"/>
    <cellStyle name="Normal 8 3 2 2 6 4" xfId="10746" xr:uid="{4C94425A-C638-44E8-B48D-26BF7FEDF043}"/>
    <cellStyle name="Normal 8 3 2 2 6 5" xfId="19194" xr:uid="{12D952A3-3197-4320-93F6-51ABBC88F3C3}"/>
    <cellStyle name="Normal 8 3 2 2 7" xfId="2644" xr:uid="{00000000-0005-0000-0000-0000571D0000}"/>
    <cellStyle name="Normal 8 3 2 2 7 2" xfId="6927" xr:uid="{00000000-0005-0000-0000-0000581D0000}"/>
    <cellStyle name="Normal 8 3 2 2 7 2 2" xfId="15377" xr:uid="{A3049613-FC0B-43A4-A4D2-2997C5C8059D}"/>
    <cellStyle name="Normal 8 3 2 2 7 2 3" xfId="23824" xr:uid="{15268AA2-3E30-459C-95BA-948B7D006DFF}"/>
    <cellStyle name="Normal 8 3 2 2 7 3" xfId="11159" xr:uid="{42817AFF-AA7C-46E9-B7DD-88C6F78EF04C}"/>
    <cellStyle name="Normal 8 3 2 2 7 4" xfId="19607" xr:uid="{F25BB1DE-FE33-4684-BB52-81AC4017EFCF}"/>
    <cellStyle name="Normal 8 3 2 2 8" xfId="4862" xr:uid="{00000000-0005-0000-0000-0000591D0000}"/>
    <cellStyle name="Normal 8 3 2 2 8 2" xfId="13312" xr:uid="{9DBC3650-D655-4709-8971-B4C34773CEDB}"/>
    <cellStyle name="Normal 8 3 2 2 8 3" xfId="21759" xr:uid="{BF74287A-DE50-40AA-B596-B14485864173}"/>
    <cellStyle name="Normal 8 3 2 2 9" xfId="9094" xr:uid="{91300132-F2C1-415A-9374-4E64272DCC36}"/>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2 2 2" xfId="15872" xr:uid="{6FDF3F4B-FF0B-4A52-BC28-C55BF503DE06}"/>
    <cellStyle name="Normal 8 3 2 3 2 2 2 3" xfId="24319" xr:uid="{645C4FAA-DBAC-4309-9374-B0C967A987FA}"/>
    <cellStyle name="Normal 8 3 2 3 2 2 3" xfId="11654" xr:uid="{1ABB86EE-D6F3-4CC8-ADED-88A23BF3D594}"/>
    <cellStyle name="Normal 8 3 2 3 2 2 4" xfId="20102" xr:uid="{04BF0360-943C-49F4-98B3-0C10DC27868E}"/>
    <cellStyle name="Normal 8 3 2 3 2 3" xfId="5277" xr:uid="{00000000-0005-0000-0000-00005E1D0000}"/>
    <cellStyle name="Normal 8 3 2 3 2 3 2" xfId="13727" xr:uid="{10027241-15C3-484B-B8F5-2059DE9ECF26}"/>
    <cellStyle name="Normal 8 3 2 3 2 3 3" xfId="22174" xr:uid="{F12606EF-BF6A-46F7-B6D2-C51B6693D96B}"/>
    <cellStyle name="Normal 8 3 2 3 2 4" xfId="9509" xr:uid="{1D954CF8-AD6A-4934-AF09-E2AEB307A406}"/>
    <cellStyle name="Normal 8 3 2 3 2 5" xfId="17957" xr:uid="{369794B3-2DAC-4A5D-978A-FFEBA98A50ED}"/>
    <cellStyle name="Normal 8 3 2 3 3" xfId="1383" xr:uid="{00000000-0005-0000-0000-00005F1D0000}"/>
    <cellStyle name="Normal 8 3 2 3 3 2" xfId="3613" xr:uid="{00000000-0005-0000-0000-0000601D0000}"/>
    <cellStyle name="Normal 8 3 2 3 3 2 2" xfId="7835" xr:uid="{00000000-0005-0000-0000-0000611D0000}"/>
    <cellStyle name="Normal 8 3 2 3 3 2 2 2" xfId="16285" xr:uid="{9CC45BC8-1C9B-46C0-8B20-46EF916C5C99}"/>
    <cellStyle name="Normal 8 3 2 3 3 2 2 3" xfId="24732" xr:uid="{22960DC3-C03E-4292-9A71-5CC04BAD91C1}"/>
    <cellStyle name="Normal 8 3 2 3 3 2 3" xfId="12067" xr:uid="{6D1F93B1-A0DD-47C7-AD92-15164FF8BAFD}"/>
    <cellStyle name="Normal 8 3 2 3 3 2 4" xfId="20515" xr:uid="{1C983D36-9212-4737-9112-78BBBDBEFC48}"/>
    <cellStyle name="Normal 8 3 2 3 3 3" xfId="5690" xr:uid="{00000000-0005-0000-0000-0000621D0000}"/>
    <cellStyle name="Normal 8 3 2 3 3 3 2" xfId="14140" xr:uid="{A2242B5B-3AD6-43A8-B5F6-F6F07516E363}"/>
    <cellStyle name="Normal 8 3 2 3 3 3 3" xfId="22587" xr:uid="{FDA9C38F-9323-4085-9D9F-F25D09A0699D}"/>
    <cellStyle name="Normal 8 3 2 3 3 4" xfId="9922" xr:uid="{21751FED-A540-461A-A96E-E7CA534F585E}"/>
    <cellStyle name="Normal 8 3 2 3 3 5" xfId="18370" xr:uid="{A00CF042-6A72-44FA-BCA0-6AD34234B728}"/>
    <cellStyle name="Normal 8 3 2 3 4" xfId="1796" xr:uid="{00000000-0005-0000-0000-0000631D0000}"/>
    <cellStyle name="Normal 8 3 2 3 4 2" xfId="4026" xr:uid="{00000000-0005-0000-0000-0000641D0000}"/>
    <cellStyle name="Normal 8 3 2 3 4 2 2" xfId="8248" xr:uid="{00000000-0005-0000-0000-0000651D0000}"/>
    <cellStyle name="Normal 8 3 2 3 4 2 2 2" xfId="16698" xr:uid="{BB58D97C-3DDF-4E2C-84FF-EFFD5018B87F}"/>
    <cellStyle name="Normal 8 3 2 3 4 2 2 3" xfId="25145" xr:uid="{7B4F2350-C707-4DF5-8D2B-DD22A76A7504}"/>
    <cellStyle name="Normal 8 3 2 3 4 2 3" xfId="12480" xr:uid="{CE13F1FA-2AE4-4A6D-A249-981B7953D612}"/>
    <cellStyle name="Normal 8 3 2 3 4 2 4" xfId="20928" xr:uid="{9E6C06B7-DB84-4974-8395-03664582E1CA}"/>
    <cellStyle name="Normal 8 3 2 3 4 3" xfId="6103" xr:uid="{00000000-0005-0000-0000-0000661D0000}"/>
    <cellStyle name="Normal 8 3 2 3 4 3 2" xfId="14553" xr:uid="{22AFA1D4-9B2E-47EA-8712-3CED913C648A}"/>
    <cellStyle name="Normal 8 3 2 3 4 3 3" xfId="23000" xr:uid="{04193F3A-1592-4001-8932-83A8D94DB3FC}"/>
    <cellStyle name="Normal 8 3 2 3 4 4" xfId="10335" xr:uid="{DA267BE6-C49F-46A6-9919-807880BD31DB}"/>
    <cellStyle name="Normal 8 3 2 3 4 5" xfId="18783" xr:uid="{D25F5C17-BFD5-469B-B929-AFA0D486A197}"/>
    <cellStyle name="Normal 8 3 2 3 5" xfId="2210" xr:uid="{00000000-0005-0000-0000-0000671D0000}"/>
    <cellStyle name="Normal 8 3 2 3 5 2" xfId="4439" xr:uid="{00000000-0005-0000-0000-0000681D0000}"/>
    <cellStyle name="Normal 8 3 2 3 5 2 2" xfId="8661" xr:uid="{00000000-0005-0000-0000-0000691D0000}"/>
    <cellStyle name="Normal 8 3 2 3 5 2 2 2" xfId="17111" xr:uid="{D9546B07-A869-44AA-B8C2-F5A47EC3933F}"/>
    <cellStyle name="Normal 8 3 2 3 5 2 2 3" xfId="25558" xr:uid="{EADF19FA-DDA4-4C9E-9BE3-7BF7D432E220}"/>
    <cellStyle name="Normal 8 3 2 3 5 2 3" xfId="12893" xr:uid="{48F0C86E-23F5-431E-983F-C34EADC340A9}"/>
    <cellStyle name="Normal 8 3 2 3 5 2 4" xfId="21341" xr:uid="{426F7E15-4655-406F-AAA8-06EF8C2DEA9D}"/>
    <cellStyle name="Normal 8 3 2 3 5 3" xfId="6516" xr:uid="{00000000-0005-0000-0000-00006A1D0000}"/>
    <cellStyle name="Normal 8 3 2 3 5 3 2" xfId="14966" xr:uid="{9338284F-E3C7-414D-B5D3-7CD3785AAA81}"/>
    <cellStyle name="Normal 8 3 2 3 5 3 3" xfId="23413" xr:uid="{86515259-86C4-4D86-B134-BB474CB68BF8}"/>
    <cellStyle name="Normal 8 3 2 3 5 4" xfId="10748" xr:uid="{C8858C09-D994-4A9A-ACD8-0E3063A02A0C}"/>
    <cellStyle name="Normal 8 3 2 3 5 5" xfId="19196" xr:uid="{F1973305-29C8-4163-B3A0-880AED14F53A}"/>
    <cellStyle name="Normal 8 3 2 3 6" xfId="2646" xr:uid="{00000000-0005-0000-0000-00006B1D0000}"/>
    <cellStyle name="Normal 8 3 2 3 6 2" xfId="6929" xr:uid="{00000000-0005-0000-0000-00006C1D0000}"/>
    <cellStyle name="Normal 8 3 2 3 6 2 2" xfId="15379" xr:uid="{9DB46259-B3F5-4963-87F2-6903EDD5BEAD}"/>
    <cellStyle name="Normal 8 3 2 3 6 2 3" xfId="23826" xr:uid="{0057BA40-ED54-4AD3-A36E-5DDBF16BC96C}"/>
    <cellStyle name="Normal 8 3 2 3 6 3" xfId="11161" xr:uid="{95E8D13B-57DB-4C97-B7E7-05EC766F0D65}"/>
    <cellStyle name="Normal 8 3 2 3 6 4" xfId="19609" xr:uid="{377A13F5-F03B-420B-AEA8-EBCE95C99E29}"/>
    <cellStyle name="Normal 8 3 2 3 7" xfId="4864" xr:uid="{00000000-0005-0000-0000-00006D1D0000}"/>
    <cellStyle name="Normal 8 3 2 3 7 2" xfId="13314" xr:uid="{3F3B80DD-BBF7-4674-9B11-56289A598879}"/>
    <cellStyle name="Normal 8 3 2 3 7 3" xfId="21761" xr:uid="{1B0A983A-5378-4E00-AB99-1B96296E7EC4}"/>
    <cellStyle name="Normal 8 3 2 3 8" xfId="9096" xr:uid="{6C359E43-A10B-4792-94B2-A3ED59171D2F}"/>
    <cellStyle name="Normal 8 3 2 3 9" xfId="17544" xr:uid="{91778528-F025-4459-8E18-4FD5526C29A1}"/>
    <cellStyle name="Normal 8 3 2 4" xfId="963" xr:uid="{00000000-0005-0000-0000-00006E1D0000}"/>
    <cellStyle name="Normal 8 3 2 4 2" xfId="3197" xr:uid="{00000000-0005-0000-0000-00006F1D0000}"/>
    <cellStyle name="Normal 8 3 2 4 2 2" xfId="7419" xr:uid="{00000000-0005-0000-0000-0000701D0000}"/>
    <cellStyle name="Normal 8 3 2 4 2 2 2" xfId="15869" xr:uid="{6F2A43AE-A45D-4894-9F2C-628C7A0E0A65}"/>
    <cellStyle name="Normal 8 3 2 4 2 2 3" xfId="24316" xr:uid="{CFAB5004-23E8-4CF1-8880-4D24BF8A4B38}"/>
    <cellStyle name="Normal 8 3 2 4 2 3" xfId="11651" xr:uid="{2AF5CA75-E37E-4024-87A9-C01F8E4D6AC1}"/>
    <cellStyle name="Normal 8 3 2 4 2 4" xfId="20099" xr:uid="{8135CA4F-F95D-458A-B9C0-65F73CABE710}"/>
    <cellStyle name="Normal 8 3 2 4 3" xfId="5274" xr:uid="{00000000-0005-0000-0000-0000711D0000}"/>
    <cellStyle name="Normal 8 3 2 4 3 2" xfId="13724" xr:uid="{0D5275E1-6A2B-4D5C-9D10-81CDAF36473C}"/>
    <cellStyle name="Normal 8 3 2 4 3 3" xfId="22171" xr:uid="{2BA168FB-5465-4B0B-A868-187EBFA6DB16}"/>
    <cellStyle name="Normal 8 3 2 4 4" xfId="9506" xr:uid="{7F9EA49A-62A5-40CF-A241-186AF33A8BD3}"/>
    <cellStyle name="Normal 8 3 2 4 5" xfId="17954" xr:uid="{1FE607BA-4065-47F4-AA99-2B04EA5FE659}"/>
    <cellStyle name="Normal 8 3 2 5" xfId="1380" xr:uid="{00000000-0005-0000-0000-0000721D0000}"/>
    <cellStyle name="Normal 8 3 2 5 2" xfId="3610" xr:uid="{00000000-0005-0000-0000-0000731D0000}"/>
    <cellStyle name="Normal 8 3 2 5 2 2" xfId="7832" xr:uid="{00000000-0005-0000-0000-0000741D0000}"/>
    <cellStyle name="Normal 8 3 2 5 2 2 2" xfId="16282" xr:uid="{BEFD3381-7D2C-4E29-9A06-7F905CAA99AD}"/>
    <cellStyle name="Normal 8 3 2 5 2 2 3" xfId="24729" xr:uid="{23F88F6A-9915-4FF5-B8AE-A35B458D3520}"/>
    <cellStyle name="Normal 8 3 2 5 2 3" xfId="12064" xr:uid="{0B7CC92E-289C-4F95-837B-CBEE2240AD89}"/>
    <cellStyle name="Normal 8 3 2 5 2 4" xfId="20512" xr:uid="{E4C71B2B-A17A-415D-B21A-8C08655E4D6F}"/>
    <cellStyle name="Normal 8 3 2 5 3" xfId="5687" xr:uid="{00000000-0005-0000-0000-0000751D0000}"/>
    <cellStyle name="Normal 8 3 2 5 3 2" xfId="14137" xr:uid="{778DAAE1-C36C-4C56-A55D-F0E6BB73F579}"/>
    <cellStyle name="Normal 8 3 2 5 3 3" xfId="22584" xr:uid="{99C0B1D3-E1F4-4580-AF46-E51B161CB1F8}"/>
    <cellStyle name="Normal 8 3 2 5 4" xfId="9919" xr:uid="{1DFE223A-2953-44E4-8AC1-91E36935DFFD}"/>
    <cellStyle name="Normal 8 3 2 5 5" xfId="18367" xr:uid="{29527583-69CF-43B4-B2CE-439EC960478E}"/>
    <cellStyle name="Normal 8 3 2 6" xfId="1793" xr:uid="{00000000-0005-0000-0000-0000761D0000}"/>
    <cellStyle name="Normal 8 3 2 6 2" xfId="4023" xr:uid="{00000000-0005-0000-0000-0000771D0000}"/>
    <cellStyle name="Normal 8 3 2 6 2 2" xfId="8245" xr:uid="{00000000-0005-0000-0000-0000781D0000}"/>
    <cellStyle name="Normal 8 3 2 6 2 2 2" xfId="16695" xr:uid="{F7E715D8-FDAD-496A-8A7B-3082A3204CD6}"/>
    <cellStyle name="Normal 8 3 2 6 2 2 3" xfId="25142" xr:uid="{5C0B4396-20D1-47FE-853C-B679AF3DE09B}"/>
    <cellStyle name="Normal 8 3 2 6 2 3" xfId="12477" xr:uid="{0DDC19EB-56C4-4CAF-9BAD-3DF87DEF7CA2}"/>
    <cellStyle name="Normal 8 3 2 6 2 4" xfId="20925" xr:uid="{7E4F2097-4AD5-4672-B93D-7837CC6E6285}"/>
    <cellStyle name="Normal 8 3 2 6 3" xfId="6100" xr:uid="{00000000-0005-0000-0000-0000791D0000}"/>
    <cellStyle name="Normal 8 3 2 6 3 2" xfId="14550" xr:uid="{AC78A9D2-8D72-46C1-BAFC-6D3CFA8D2A7F}"/>
    <cellStyle name="Normal 8 3 2 6 3 3" xfId="22997" xr:uid="{E9BC31A5-7D85-4F1E-9D44-78CFE2EFCAB0}"/>
    <cellStyle name="Normal 8 3 2 6 4" xfId="10332" xr:uid="{2665D118-9993-4174-A437-9CF4AFCA6C3F}"/>
    <cellStyle name="Normal 8 3 2 6 5" xfId="18780" xr:uid="{789E0F99-CB7D-40BC-8D23-7C5033B15FDD}"/>
    <cellStyle name="Normal 8 3 2 7" xfId="2207" xr:uid="{00000000-0005-0000-0000-00007A1D0000}"/>
    <cellStyle name="Normal 8 3 2 7 2" xfId="4436" xr:uid="{00000000-0005-0000-0000-00007B1D0000}"/>
    <cellStyle name="Normal 8 3 2 7 2 2" xfId="8658" xr:uid="{00000000-0005-0000-0000-00007C1D0000}"/>
    <cellStyle name="Normal 8 3 2 7 2 2 2" xfId="17108" xr:uid="{13F2D27B-8240-411E-9114-146DDB603701}"/>
    <cellStyle name="Normal 8 3 2 7 2 2 3" xfId="25555" xr:uid="{9962A47F-7430-44F7-A543-AD2CBDBD226B}"/>
    <cellStyle name="Normal 8 3 2 7 2 3" xfId="12890" xr:uid="{F3D183B5-89A7-453E-89C6-F398D9043852}"/>
    <cellStyle name="Normal 8 3 2 7 2 4" xfId="21338" xr:uid="{1F1055AC-A9A3-4EB4-8416-66C9997B9671}"/>
    <cellStyle name="Normal 8 3 2 7 3" xfId="6513" xr:uid="{00000000-0005-0000-0000-00007D1D0000}"/>
    <cellStyle name="Normal 8 3 2 7 3 2" xfId="14963" xr:uid="{E13BE8BD-2BED-4022-9764-251D027750DD}"/>
    <cellStyle name="Normal 8 3 2 7 3 3" xfId="23410" xr:uid="{3295F12F-CC87-443F-884E-8E855CB6B11F}"/>
    <cellStyle name="Normal 8 3 2 7 4" xfId="10745" xr:uid="{5CF84235-52D9-42A6-AF02-7C43DBE6EB59}"/>
    <cellStyle name="Normal 8 3 2 7 5" xfId="19193" xr:uid="{9F81D0BC-A857-4844-85AF-7836127BBBFD}"/>
    <cellStyle name="Normal 8 3 2 8" xfId="2643" xr:uid="{00000000-0005-0000-0000-00007E1D0000}"/>
    <cellStyle name="Normal 8 3 2 8 2" xfId="6926" xr:uid="{00000000-0005-0000-0000-00007F1D0000}"/>
    <cellStyle name="Normal 8 3 2 8 2 2" xfId="15376" xr:uid="{EFF44526-599F-4CBA-BF17-71B8897662D6}"/>
    <cellStyle name="Normal 8 3 2 8 2 3" xfId="23823" xr:uid="{5DF43597-4848-4E44-BC67-BBD7581D1837}"/>
    <cellStyle name="Normal 8 3 2 8 3" xfId="11158" xr:uid="{19CCB413-D0BB-40E5-8589-D06350C32EF1}"/>
    <cellStyle name="Normal 8 3 2 8 4" xfId="19606" xr:uid="{00F54386-4058-47ED-BC52-8298855A4354}"/>
    <cellStyle name="Normal 8 3 2 9" xfId="4861" xr:uid="{00000000-0005-0000-0000-0000801D0000}"/>
    <cellStyle name="Normal 8 3 2 9 2" xfId="13311" xr:uid="{D8858C30-CB5D-48C5-B32C-123D8545E592}"/>
    <cellStyle name="Normal 8 3 2 9 3" xfId="21758" xr:uid="{DA6210E2-90B8-4AB0-A002-B2785E5ABB30}"/>
    <cellStyle name="Normal 8 3 3" xfId="500" xr:uid="{00000000-0005-0000-0000-0000811D0000}"/>
    <cellStyle name="Normal 8 3 3 10" xfId="17545" xr:uid="{930122AA-95B7-42EF-8B38-64235CD784D5}"/>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2 2 2" xfId="15874" xr:uid="{8B646C7B-9915-44A4-9335-52205E9BA743}"/>
    <cellStyle name="Normal 8 3 3 2 2 2 2 3" xfId="24321" xr:uid="{88E2B2E9-D7E5-484B-A18C-40E13A504E7D}"/>
    <cellStyle name="Normal 8 3 3 2 2 2 3" xfId="11656" xr:uid="{E1DB8213-667E-4673-A60A-81D0A296C101}"/>
    <cellStyle name="Normal 8 3 3 2 2 2 4" xfId="20104" xr:uid="{56FAF95F-9C7F-44A7-8D17-9F16CD289081}"/>
    <cellStyle name="Normal 8 3 3 2 2 3" xfId="5279" xr:uid="{00000000-0005-0000-0000-0000861D0000}"/>
    <cellStyle name="Normal 8 3 3 2 2 3 2" xfId="13729" xr:uid="{E8D1B15A-141F-4484-BC57-CAA925272236}"/>
    <cellStyle name="Normal 8 3 3 2 2 3 3" xfId="22176" xr:uid="{42583CB9-1D1A-4D83-80DE-DB49BE81BC2E}"/>
    <cellStyle name="Normal 8 3 3 2 2 4" xfId="9511" xr:uid="{B34937B7-34F8-4810-8F31-28B1032453BC}"/>
    <cellStyle name="Normal 8 3 3 2 2 5" xfId="17959" xr:uid="{DD45A16A-FC2D-4DEA-8C2C-7B1A96C873CB}"/>
    <cellStyle name="Normal 8 3 3 2 3" xfId="1385" xr:uid="{00000000-0005-0000-0000-0000871D0000}"/>
    <cellStyle name="Normal 8 3 3 2 3 2" xfId="3615" xr:uid="{00000000-0005-0000-0000-0000881D0000}"/>
    <cellStyle name="Normal 8 3 3 2 3 2 2" xfId="7837" xr:uid="{00000000-0005-0000-0000-0000891D0000}"/>
    <cellStyle name="Normal 8 3 3 2 3 2 2 2" xfId="16287" xr:uid="{1B87E72E-96F0-408C-9C85-52B9D3AABF7D}"/>
    <cellStyle name="Normal 8 3 3 2 3 2 2 3" xfId="24734" xr:uid="{3303A2C7-34F0-4A3F-AD55-E2F844504F88}"/>
    <cellStyle name="Normal 8 3 3 2 3 2 3" xfId="12069" xr:uid="{0440D4CE-7C62-4F5F-8504-F7F7811A0EB8}"/>
    <cellStyle name="Normal 8 3 3 2 3 2 4" xfId="20517" xr:uid="{4BEB0FE2-66CD-43AA-B47F-65809C337303}"/>
    <cellStyle name="Normal 8 3 3 2 3 3" xfId="5692" xr:uid="{00000000-0005-0000-0000-00008A1D0000}"/>
    <cellStyle name="Normal 8 3 3 2 3 3 2" xfId="14142" xr:uid="{B4A1CF17-13FE-4F7B-AF2B-5CED17C75D88}"/>
    <cellStyle name="Normal 8 3 3 2 3 3 3" xfId="22589" xr:uid="{CAE2920C-EE7F-4657-8087-F0D362AE8242}"/>
    <cellStyle name="Normal 8 3 3 2 3 4" xfId="9924" xr:uid="{EA74CB78-E31D-427A-8258-694FE28F63CB}"/>
    <cellStyle name="Normal 8 3 3 2 3 5" xfId="18372" xr:uid="{AB3D60B0-B8D6-477C-ADB0-C740C8094DBA}"/>
    <cellStyle name="Normal 8 3 3 2 4" xfId="1798" xr:uid="{00000000-0005-0000-0000-00008B1D0000}"/>
    <cellStyle name="Normal 8 3 3 2 4 2" xfId="4028" xr:uid="{00000000-0005-0000-0000-00008C1D0000}"/>
    <cellStyle name="Normal 8 3 3 2 4 2 2" xfId="8250" xr:uid="{00000000-0005-0000-0000-00008D1D0000}"/>
    <cellStyle name="Normal 8 3 3 2 4 2 2 2" xfId="16700" xr:uid="{B0037EAD-338B-46D3-A2A3-830E0F013AC9}"/>
    <cellStyle name="Normal 8 3 3 2 4 2 2 3" xfId="25147" xr:uid="{B795C382-A185-4354-9350-7B0215695289}"/>
    <cellStyle name="Normal 8 3 3 2 4 2 3" xfId="12482" xr:uid="{1DC35411-ECF2-49F6-979E-59F6AEC7A11A}"/>
    <cellStyle name="Normal 8 3 3 2 4 2 4" xfId="20930" xr:uid="{7F9231BA-91BE-463C-A906-87EBF7F9E231}"/>
    <cellStyle name="Normal 8 3 3 2 4 3" xfId="6105" xr:uid="{00000000-0005-0000-0000-00008E1D0000}"/>
    <cellStyle name="Normal 8 3 3 2 4 3 2" xfId="14555" xr:uid="{3ED149EE-E15E-4C12-A61B-EBBCD8FEEE04}"/>
    <cellStyle name="Normal 8 3 3 2 4 3 3" xfId="23002" xr:uid="{4FD116B0-581A-4638-9582-EDC1A3CF2140}"/>
    <cellStyle name="Normal 8 3 3 2 4 4" xfId="10337" xr:uid="{7E119B43-C8D7-4575-B1CE-D8D790D2872C}"/>
    <cellStyle name="Normal 8 3 3 2 4 5" xfId="18785" xr:uid="{B9B07F7C-539B-4DE2-B5AC-342FAA4C4C88}"/>
    <cellStyle name="Normal 8 3 3 2 5" xfId="2212" xr:uid="{00000000-0005-0000-0000-00008F1D0000}"/>
    <cellStyle name="Normal 8 3 3 2 5 2" xfId="4441" xr:uid="{00000000-0005-0000-0000-0000901D0000}"/>
    <cellStyle name="Normal 8 3 3 2 5 2 2" xfId="8663" xr:uid="{00000000-0005-0000-0000-0000911D0000}"/>
    <cellStyle name="Normal 8 3 3 2 5 2 2 2" xfId="17113" xr:uid="{02107BFF-E87B-4E59-A759-B37806C6E83B}"/>
    <cellStyle name="Normal 8 3 3 2 5 2 2 3" xfId="25560" xr:uid="{DDC6F549-8F7B-49B2-988C-3B14B124818F}"/>
    <cellStyle name="Normal 8 3 3 2 5 2 3" xfId="12895" xr:uid="{062DF316-CD10-406F-98F7-30431D376798}"/>
    <cellStyle name="Normal 8 3 3 2 5 2 4" xfId="21343" xr:uid="{7AADBF6E-BEF2-4CCA-ACA1-9C6FFA0BC788}"/>
    <cellStyle name="Normal 8 3 3 2 5 3" xfId="6518" xr:uid="{00000000-0005-0000-0000-0000921D0000}"/>
    <cellStyle name="Normal 8 3 3 2 5 3 2" xfId="14968" xr:uid="{C444F38F-7DD2-44D7-9809-6E95154F5E1E}"/>
    <cellStyle name="Normal 8 3 3 2 5 3 3" xfId="23415" xr:uid="{C7BE999F-BF48-4D67-B7EE-F2E333C2317F}"/>
    <cellStyle name="Normal 8 3 3 2 5 4" xfId="10750" xr:uid="{D01AC8B6-4EB2-4A67-ABAF-D08C124B1988}"/>
    <cellStyle name="Normal 8 3 3 2 5 5" xfId="19198" xr:uid="{6DBF27C6-D78F-4A08-B52C-2E45330014DE}"/>
    <cellStyle name="Normal 8 3 3 2 6" xfId="2648" xr:uid="{00000000-0005-0000-0000-0000931D0000}"/>
    <cellStyle name="Normal 8 3 3 2 6 2" xfId="6931" xr:uid="{00000000-0005-0000-0000-0000941D0000}"/>
    <cellStyle name="Normal 8 3 3 2 6 2 2" xfId="15381" xr:uid="{DCB9CFB6-683B-4D9D-8F64-C354511466F4}"/>
    <cellStyle name="Normal 8 3 3 2 6 2 3" xfId="23828" xr:uid="{820FCE70-8C61-4AAE-A2CB-C4E0C37AB853}"/>
    <cellStyle name="Normal 8 3 3 2 6 3" xfId="11163" xr:uid="{489ADA83-B166-472B-9825-C8A5052603DF}"/>
    <cellStyle name="Normal 8 3 3 2 6 4" xfId="19611" xr:uid="{284C9F84-3B62-4A75-9AA3-C198663A5D45}"/>
    <cellStyle name="Normal 8 3 3 2 7" xfId="4866" xr:uid="{00000000-0005-0000-0000-0000951D0000}"/>
    <cellStyle name="Normal 8 3 3 2 7 2" xfId="13316" xr:uid="{FD92F95C-7C0C-45D5-A6A5-64DBA5027FD9}"/>
    <cellStyle name="Normal 8 3 3 2 7 3" xfId="21763" xr:uid="{BCB9E136-EEE2-42D0-BC72-F33AFC38F6A3}"/>
    <cellStyle name="Normal 8 3 3 2 8" xfId="9098" xr:uid="{0867127C-2B25-4228-AD20-65D2060B692C}"/>
    <cellStyle name="Normal 8 3 3 2 9" xfId="17546" xr:uid="{FCD1B86D-EFD9-438B-A03C-8309F73210E4}"/>
    <cellStyle name="Normal 8 3 3 3" xfId="967" xr:uid="{00000000-0005-0000-0000-0000961D0000}"/>
    <cellStyle name="Normal 8 3 3 3 2" xfId="3201" xr:uid="{00000000-0005-0000-0000-0000971D0000}"/>
    <cellStyle name="Normal 8 3 3 3 2 2" xfId="7423" xr:uid="{00000000-0005-0000-0000-0000981D0000}"/>
    <cellStyle name="Normal 8 3 3 3 2 2 2" xfId="15873" xr:uid="{B203629E-1072-427E-944A-0A47634DB96B}"/>
    <cellStyle name="Normal 8 3 3 3 2 2 3" xfId="24320" xr:uid="{E6F05B93-249F-4964-B994-AA905AAF55E1}"/>
    <cellStyle name="Normal 8 3 3 3 2 3" xfId="11655" xr:uid="{1E89BA0E-8E1B-42D0-99E3-1E861E8E2833}"/>
    <cellStyle name="Normal 8 3 3 3 2 4" xfId="20103" xr:uid="{D749134E-6919-4735-9E08-06654ECDE87D}"/>
    <cellStyle name="Normal 8 3 3 3 3" xfId="5278" xr:uid="{00000000-0005-0000-0000-0000991D0000}"/>
    <cellStyle name="Normal 8 3 3 3 3 2" xfId="13728" xr:uid="{D983F28D-437B-40C2-AAD8-D8DB5531A0A4}"/>
    <cellStyle name="Normal 8 3 3 3 3 3" xfId="22175" xr:uid="{0D170531-7128-4D42-8601-3ECC8D841D7B}"/>
    <cellStyle name="Normal 8 3 3 3 4" xfId="9510" xr:uid="{A2E876F8-0C1D-4425-87EB-6CF4630B4DA0}"/>
    <cellStyle name="Normal 8 3 3 3 5" xfId="17958" xr:uid="{B835B3EA-E40D-4F37-B41F-E7CA424A9C17}"/>
    <cellStyle name="Normal 8 3 3 4" xfId="1384" xr:uid="{00000000-0005-0000-0000-00009A1D0000}"/>
    <cellStyle name="Normal 8 3 3 4 2" xfId="3614" xr:uid="{00000000-0005-0000-0000-00009B1D0000}"/>
    <cellStyle name="Normal 8 3 3 4 2 2" xfId="7836" xr:uid="{00000000-0005-0000-0000-00009C1D0000}"/>
    <cellStyle name="Normal 8 3 3 4 2 2 2" xfId="16286" xr:uid="{5FD2F033-C0E0-47C6-8C09-CE05AE896D98}"/>
    <cellStyle name="Normal 8 3 3 4 2 2 3" xfId="24733" xr:uid="{9C0C7E0F-B132-4C08-A2FD-F76F06BAB63F}"/>
    <cellStyle name="Normal 8 3 3 4 2 3" xfId="12068" xr:uid="{F5AF5C79-FE44-4124-BCC7-1E52BCD31F63}"/>
    <cellStyle name="Normal 8 3 3 4 2 4" xfId="20516" xr:uid="{3B5A023F-6BE7-4C9A-90C5-2EE5E4C10FFF}"/>
    <cellStyle name="Normal 8 3 3 4 3" xfId="5691" xr:uid="{00000000-0005-0000-0000-00009D1D0000}"/>
    <cellStyle name="Normal 8 3 3 4 3 2" xfId="14141" xr:uid="{E731D2FE-4D2D-45AF-90DF-1ADC9629C296}"/>
    <cellStyle name="Normal 8 3 3 4 3 3" xfId="22588" xr:uid="{F2B08EC7-72E7-4D0B-8468-6F26BE388888}"/>
    <cellStyle name="Normal 8 3 3 4 4" xfId="9923" xr:uid="{490A7934-B134-4EA0-ADEE-3878C2EB8B29}"/>
    <cellStyle name="Normal 8 3 3 4 5" xfId="18371" xr:uid="{539377BA-9638-4F07-8D41-9A6DC37585F8}"/>
    <cellStyle name="Normal 8 3 3 5" xfId="1797" xr:uid="{00000000-0005-0000-0000-00009E1D0000}"/>
    <cellStyle name="Normal 8 3 3 5 2" xfId="4027" xr:uid="{00000000-0005-0000-0000-00009F1D0000}"/>
    <cellStyle name="Normal 8 3 3 5 2 2" xfId="8249" xr:uid="{00000000-0005-0000-0000-0000A01D0000}"/>
    <cellStyle name="Normal 8 3 3 5 2 2 2" xfId="16699" xr:uid="{E532880B-6388-401E-A969-6AC20C1CD3B5}"/>
    <cellStyle name="Normal 8 3 3 5 2 2 3" xfId="25146" xr:uid="{8A15DFD5-0E12-4DA2-BDE7-052E4AAE1B05}"/>
    <cellStyle name="Normal 8 3 3 5 2 3" xfId="12481" xr:uid="{BA49A0F4-D2F0-407F-B779-FDAE8210C57B}"/>
    <cellStyle name="Normal 8 3 3 5 2 4" xfId="20929" xr:uid="{A4365A06-71E0-4710-A850-0E26EF7B3B61}"/>
    <cellStyle name="Normal 8 3 3 5 3" xfId="6104" xr:uid="{00000000-0005-0000-0000-0000A11D0000}"/>
    <cellStyle name="Normal 8 3 3 5 3 2" xfId="14554" xr:uid="{20D4D082-C861-4F0F-AF46-769E0CB0C37D}"/>
    <cellStyle name="Normal 8 3 3 5 3 3" xfId="23001" xr:uid="{3D44E3AD-208E-4106-A850-0AA61054343A}"/>
    <cellStyle name="Normal 8 3 3 5 4" xfId="10336" xr:uid="{72E844B1-0019-4F5F-B03A-450C1103DAB5}"/>
    <cellStyle name="Normal 8 3 3 5 5" xfId="18784" xr:uid="{04D83F9E-2503-4C16-AF46-2F6B631E8D01}"/>
    <cellStyle name="Normal 8 3 3 6" xfId="2211" xr:uid="{00000000-0005-0000-0000-0000A21D0000}"/>
    <cellStyle name="Normal 8 3 3 6 2" xfId="4440" xr:uid="{00000000-0005-0000-0000-0000A31D0000}"/>
    <cellStyle name="Normal 8 3 3 6 2 2" xfId="8662" xr:uid="{00000000-0005-0000-0000-0000A41D0000}"/>
    <cellStyle name="Normal 8 3 3 6 2 2 2" xfId="17112" xr:uid="{9B00F891-BCF3-43B0-A9F9-640286BA57F0}"/>
    <cellStyle name="Normal 8 3 3 6 2 2 3" xfId="25559" xr:uid="{4CC3BEFC-89A7-4751-8E29-89A3E11777A7}"/>
    <cellStyle name="Normal 8 3 3 6 2 3" xfId="12894" xr:uid="{26990D34-7F0F-4ECD-8423-7911045E50F9}"/>
    <cellStyle name="Normal 8 3 3 6 2 4" xfId="21342" xr:uid="{CC455CAB-1A8A-4C55-A027-E6C7AF1ADB36}"/>
    <cellStyle name="Normal 8 3 3 6 3" xfId="6517" xr:uid="{00000000-0005-0000-0000-0000A51D0000}"/>
    <cellStyle name="Normal 8 3 3 6 3 2" xfId="14967" xr:uid="{DC74BE03-C9EA-401C-9817-F97D13CD9898}"/>
    <cellStyle name="Normal 8 3 3 6 3 3" xfId="23414" xr:uid="{7FEEAF8A-AFFF-446A-8A9A-DD8E40E18EEB}"/>
    <cellStyle name="Normal 8 3 3 6 4" xfId="10749" xr:uid="{038B83A2-90A0-4CB0-854C-169725431539}"/>
    <cellStyle name="Normal 8 3 3 6 5" xfId="19197" xr:uid="{0665450D-0A06-428B-973F-427C4E261E0E}"/>
    <cellStyle name="Normal 8 3 3 7" xfId="2647" xr:uid="{00000000-0005-0000-0000-0000A61D0000}"/>
    <cellStyle name="Normal 8 3 3 7 2" xfId="6930" xr:uid="{00000000-0005-0000-0000-0000A71D0000}"/>
    <cellStyle name="Normal 8 3 3 7 2 2" xfId="15380" xr:uid="{1342A24D-79E0-40A5-891A-779FE612DE13}"/>
    <cellStyle name="Normal 8 3 3 7 2 3" xfId="23827" xr:uid="{4A3FFFCC-BE5E-442F-A98F-98BF7F933183}"/>
    <cellStyle name="Normal 8 3 3 7 3" xfId="11162" xr:uid="{B1388E38-872A-46B0-B43A-EE37805B91A0}"/>
    <cellStyle name="Normal 8 3 3 7 4" xfId="19610" xr:uid="{EEF069DA-3A86-4D88-B42C-02516B9520E4}"/>
    <cellStyle name="Normal 8 3 3 8" xfId="4865" xr:uid="{00000000-0005-0000-0000-0000A81D0000}"/>
    <cellStyle name="Normal 8 3 3 8 2" xfId="13315" xr:uid="{CAD11F7A-2C5C-4E9B-B16C-6DF128DA6F63}"/>
    <cellStyle name="Normal 8 3 3 8 3" xfId="21762" xr:uid="{E2127908-6C73-4FD8-9875-906F21DE4215}"/>
    <cellStyle name="Normal 8 3 3 9" xfId="9097" xr:uid="{E95D3D2F-C95C-487A-9D48-9C88C416A7BC}"/>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2 2 2" xfId="15875" xr:uid="{57526415-CBC9-4968-B215-899CD45A7E81}"/>
    <cellStyle name="Normal 8 3 4 2 2 2 3" xfId="24322" xr:uid="{D7C1A798-1BEE-4D6E-A704-09F087FDF76F}"/>
    <cellStyle name="Normal 8 3 4 2 2 3" xfId="11657" xr:uid="{63589BF8-DB9C-417A-A820-4BF546CF8509}"/>
    <cellStyle name="Normal 8 3 4 2 2 4" xfId="20105" xr:uid="{33C250F7-13F5-42D8-9E4F-9904A66F5930}"/>
    <cellStyle name="Normal 8 3 4 2 3" xfId="5280" xr:uid="{00000000-0005-0000-0000-0000AD1D0000}"/>
    <cellStyle name="Normal 8 3 4 2 3 2" xfId="13730" xr:uid="{20139248-DB0A-4168-979B-D216D7B3A37E}"/>
    <cellStyle name="Normal 8 3 4 2 3 3" xfId="22177" xr:uid="{B58B4155-278E-4B96-B8A0-74D09B264EE0}"/>
    <cellStyle name="Normal 8 3 4 2 4" xfId="9512" xr:uid="{150B84EA-4794-435D-AAE6-FB44DC787BC3}"/>
    <cellStyle name="Normal 8 3 4 2 5" xfId="17960" xr:uid="{C0E87356-DE08-4E3D-B6FE-97D5A0F76020}"/>
    <cellStyle name="Normal 8 3 4 3" xfId="1386" xr:uid="{00000000-0005-0000-0000-0000AE1D0000}"/>
    <cellStyle name="Normal 8 3 4 3 2" xfId="3616" xr:uid="{00000000-0005-0000-0000-0000AF1D0000}"/>
    <cellStyle name="Normal 8 3 4 3 2 2" xfId="7838" xr:uid="{00000000-0005-0000-0000-0000B01D0000}"/>
    <cellStyle name="Normal 8 3 4 3 2 2 2" xfId="16288" xr:uid="{80BC1A26-690C-458E-A8C8-80B998BB69D1}"/>
    <cellStyle name="Normal 8 3 4 3 2 2 3" xfId="24735" xr:uid="{6709D319-5A71-4ECB-9FBB-ABE12BA58E11}"/>
    <cellStyle name="Normal 8 3 4 3 2 3" xfId="12070" xr:uid="{2A18F1AE-B3CE-4762-A4AA-F6BAF7560324}"/>
    <cellStyle name="Normal 8 3 4 3 2 4" xfId="20518" xr:uid="{4253950C-DD5E-48E2-B9D5-0EB19AB8BD1D}"/>
    <cellStyle name="Normal 8 3 4 3 3" xfId="5693" xr:uid="{00000000-0005-0000-0000-0000B11D0000}"/>
    <cellStyle name="Normal 8 3 4 3 3 2" xfId="14143" xr:uid="{A7563125-1099-4CA7-8C5F-5454891EE6F5}"/>
    <cellStyle name="Normal 8 3 4 3 3 3" xfId="22590" xr:uid="{70852E3D-70EB-46C4-84E4-C957A565344E}"/>
    <cellStyle name="Normal 8 3 4 3 4" xfId="9925" xr:uid="{A889A9A6-8CF3-4433-A121-77625FFA763B}"/>
    <cellStyle name="Normal 8 3 4 3 5" xfId="18373" xr:uid="{F05509A5-6D67-471F-879A-DD280A592D76}"/>
    <cellStyle name="Normal 8 3 4 4" xfId="1799" xr:uid="{00000000-0005-0000-0000-0000B21D0000}"/>
    <cellStyle name="Normal 8 3 4 4 2" xfId="4029" xr:uid="{00000000-0005-0000-0000-0000B31D0000}"/>
    <cellStyle name="Normal 8 3 4 4 2 2" xfId="8251" xr:uid="{00000000-0005-0000-0000-0000B41D0000}"/>
    <cellStyle name="Normal 8 3 4 4 2 2 2" xfId="16701" xr:uid="{042EAA9D-7A73-4908-98AF-DF9B11098E64}"/>
    <cellStyle name="Normal 8 3 4 4 2 2 3" xfId="25148" xr:uid="{F19EF979-A0C2-4DC7-B641-E8C5FE1188BD}"/>
    <cellStyle name="Normal 8 3 4 4 2 3" xfId="12483" xr:uid="{6D9E5FC1-5867-4014-A789-26A41F73AF39}"/>
    <cellStyle name="Normal 8 3 4 4 2 4" xfId="20931" xr:uid="{50B83E82-0C5C-480F-9613-D6F6D64C28DB}"/>
    <cellStyle name="Normal 8 3 4 4 3" xfId="6106" xr:uid="{00000000-0005-0000-0000-0000B51D0000}"/>
    <cellStyle name="Normal 8 3 4 4 3 2" xfId="14556" xr:uid="{ED9EFC86-61A9-42B3-8E06-EACF9085D864}"/>
    <cellStyle name="Normal 8 3 4 4 3 3" xfId="23003" xr:uid="{695DC6AD-C35E-4FD8-9B65-490D781D00C7}"/>
    <cellStyle name="Normal 8 3 4 4 4" xfId="10338" xr:uid="{4FF60B25-B253-48A1-955A-0F0CF0144919}"/>
    <cellStyle name="Normal 8 3 4 4 5" xfId="18786" xr:uid="{4CC7EA44-1302-4DB8-84EE-149FE7B01386}"/>
    <cellStyle name="Normal 8 3 4 5" xfId="2213" xr:uid="{00000000-0005-0000-0000-0000B61D0000}"/>
    <cellStyle name="Normal 8 3 4 5 2" xfId="4442" xr:uid="{00000000-0005-0000-0000-0000B71D0000}"/>
    <cellStyle name="Normal 8 3 4 5 2 2" xfId="8664" xr:uid="{00000000-0005-0000-0000-0000B81D0000}"/>
    <cellStyle name="Normal 8 3 4 5 2 2 2" xfId="17114" xr:uid="{617F7E9A-9023-404E-A063-28574AD71483}"/>
    <cellStyle name="Normal 8 3 4 5 2 2 3" xfId="25561" xr:uid="{D55497CA-A60F-40EC-A852-B4FE3A15764A}"/>
    <cellStyle name="Normal 8 3 4 5 2 3" xfId="12896" xr:uid="{831CE917-6C1A-46B3-B2ED-ED279E249178}"/>
    <cellStyle name="Normal 8 3 4 5 2 4" xfId="21344" xr:uid="{CC6FA6D9-CD9D-4B37-8A16-479B293AB7D0}"/>
    <cellStyle name="Normal 8 3 4 5 3" xfId="6519" xr:uid="{00000000-0005-0000-0000-0000B91D0000}"/>
    <cellStyle name="Normal 8 3 4 5 3 2" xfId="14969" xr:uid="{1ADD8C16-983A-4E84-8DAA-B2F7694D4EB0}"/>
    <cellStyle name="Normal 8 3 4 5 3 3" xfId="23416" xr:uid="{C2FA3ED4-7EB7-41B6-9EE5-578AF4355F36}"/>
    <cellStyle name="Normal 8 3 4 5 4" xfId="10751" xr:uid="{6232AFF0-506F-4291-8A90-A7E8CB06C22A}"/>
    <cellStyle name="Normal 8 3 4 5 5" xfId="19199" xr:uid="{75A55396-A259-4282-A642-72EC4D59A575}"/>
    <cellStyle name="Normal 8 3 4 6" xfId="2649" xr:uid="{00000000-0005-0000-0000-0000BA1D0000}"/>
    <cellStyle name="Normal 8 3 4 6 2" xfId="6932" xr:uid="{00000000-0005-0000-0000-0000BB1D0000}"/>
    <cellStyle name="Normal 8 3 4 6 2 2" xfId="15382" xr:uid="{E29E8D5F-826F-4F41-A2E8-15D22E0A6732}"/>
    <cellStyle name="Normal 8 3 4 6 2 3" xfId="23829" xr:uid="{500B509D-6DF8-4039-8A9E-10F77718DAA0}"/>
    <cellStyle name="Normal 8 3 4 6 3" xfId="11164" xr:uid="{282009C8-6FA7-49A3-B4F8-B6A823BEC2AA}"/>
    <cellStyle name="Normal 8 3 4 6 4" xfId="19612" xr:uid="{8F843B3D-8C49-494D-B950-91BE53CEB8A8}"/>
    <cellStyle name="Normal 8 3 4 7" xfId="4867" xr:uid="{00000000-0005-0000-0000-0000BC1D0000}"/>
    <cellStyle name="Normal 8 3 4 7 2" xfId="13317" xr:uid="{C1D6B60F-48AC-42A6-920F-61FAD65C64CD}"/>
    <cellStyle name="Normal 8 3 4 7 3" xfId="21764" xr:uid="{02F42549-C902-44C7-B7F7-09FFA95F63DD}"/>
    <cellStyle name="Normal 8 3 4 8" xfId="9099" xr:uid="{F817BB71-AE2D-4A3C-8789-88597FB738A0}"/>
    <cellStyle name="Normal 8 3 4 9" xfId="17547" xr:uid="{3C11F53B-8427-4A99-997F-B990BB7FEF89}"/>
    <cellStyle name="Normal 8 3 5" xfId="962" xr:uid="{00000000-0005-0000-0000-0000BD1D0000}"/>
    <cellStyle name="Normal 8 3 5 2" xfId="3196" xr:uid="{00000000-0005-0000-0000-0000BE1D0000}"/>
    <cellStyle name="Normal 8 3 5 2 2" xfId="7418" xr:uid="{00000000-0005-0000-0000-0000BF1D0000}"/>
    <cellStyle name="Normal 8 3 5 2 2 2" xfId="15868" xr:uid="{AF3FE53F-E1F9-4D96-B320-88DD2E566803}"/>
    <cellStyle name="Normal 8 3 5 2 2 3" xfId="24315" xr:uid="{3AC58270-E73B-44A2-9391-3CA9A94471CB}"/>
    <cellStyle name="Normal 8 3 5 2 3" xfId="11650" xr:uid="{858BB5DF-94BC-4982-A4F9-1D0A25F55201}"/>
    <cellStyle name="Normal 8 3 5 2 4" xfId="20098" xr:uid="{8734160F-AA4F-41CC-86AB-8BBA3227108B}"/>
    <cellStyle name="Normal 8 3 5 3" xfId="5273" xr:uid="{00000000-0005-0000-0000-0000C01D0000}"/>
    <cellStyle name="Normal 8 3 5 3 2" xfId="13723" xr:uid="{07460276-DAA1-47C0-BB8D-C485CB695303}"/>
    <cellStyle name="Normal 8 3 5 3 3" xfId="22170" xr:uid="{079787FB-8198-4892-934A-35521B1A1967}"/>
    <cellStyle name="Normal 8 3 5 4" xfId="9505" xr:uid="{6939633D-D424-4858-887B-6C2883BD54DB}"/>
    <cellStyle name="Normal 8 3 5 5" xfId="17953" xr:uid="{679269FD-B33F-4DCE-B8B8-9BB93A901556}"/>
    <cellStyle name="Normal 8 3 6" xfId="1379" xr:uid="{00000000-0005-0000-0000-0000C11D0000}"/>
    <cellStyle name="Normal 8 3 6 2" xfId="3609" xr:uid="{00000000-0005-0000-0000-0000C21D0000}"/>
    <cellStyle name="Normal 8 3 6 2 2" xfId="7831" xr:uid="{00000000-0005-0000-0000-0000C31D0000}"/>
    <cellStyle name="Normal 8 3 6 2 2 2" xfId="16281" xr:uid="{4B818723-72AB-484A-926B-80D9A97250FE}"/>
    <cellStyle name="Normal 8 3 6 2 2 3" xfId="24728" xr:uid="{2F51D992-B797-4FD4-A333-98B1357968C0}"/>
    <cellStyle name="Normal 8 3 6 2 3" xfId="12063" xr:uid="{DFF503B8-14D2-4810-82C8-B9990EAC27C4}"/>
    <cellStyle name="Normal 8 3 6 2 4" xfId="20511" xr:uid="{6D3E8571-FC22-407E-A12D-59583BB59C64}"/>
    <cellStyle name="Normal 8 3 6 3" xfId="5686" xr:uid="{00000000-0005-0000-0000-0000C41D0000}"/>
    <cellStyle name="Normal 8 3 6 3 2" xfId="14136" xr:uid="{7E6A2846-DC8F-4FEB-B3CD-D49A6C820BB3}"/>
    <cellStyle name="Normal 8 3 6 3 3" xfId="22583" xr:uid="{2C2063D0-9784-4C6B-9229-0975FB353A7F}"/>
    <cellStyle name="Normal 8 3 6 4" xfId="9918" xr:uid="{F96995CA-58A8-441B-B82F-C07A648ED4BD}"/>
    <cellStyle name="Normal 8 3 6 5" xfId="18366" xr:uid="{D76E2619-2ADB-4982-9792-1F77EA18C083}"/>
    <cellStyle name="Normal 8 3 7" xfId="1792" xr:uid="{00000000-0005-0000-0000-0000C51D0000}"/>
    <cellStyle name="Normal 8 3 7 2" xfId="4022" xr:uid="{00000000-0005-0000-0000-0000C61D0000}"/>
    <cellStyle name="Normal 8 3 7 2 2" xfId="8244" xr:uid="{00000000-0005-0000-0000-0000C71D0000}"/>
    <cellStyle name="Normal 8 3 7 2 2 2" xfId="16694" xr:uid="{BDD4AFE1-D543-419E-A3E5-022A22E39DD8}"/>
    <cellStyle name="Normal 8 3 7 2 2 3" xfId="25141" xr:uid="{82E6A45C-F864-4256-88AE-55C5EA1C6D8D}"/>
    <cellStyle name="Normal 8 3 7 2 3" xfId="12476" xr:uid="{966E39C4-397A-4DF9-8A00-940ACF045884}"/>
    <cellStyle name="Normal 8 3 7 2 4" xfId="20924" xr:uid="{CF9C017E-A0E6-4FA3-85C3-EA3E2C865489}"/>
    <cellStyle name="Normal 8 3 7 3" xfId="6099" xr:uid="{00000000-0005-0000-0000-0000C81D0000}"/>
    <cellStyle name="Normal 8 3 7 3 2" xfId="14549" xr:uid="{E8AF1FF4-1D85-45CF-99EC-44279C2637CA}"/>
    <cellStyle name="Normal 8 3 7 3 3" xfId="22996" xr:uid="{59AD6991-3717-4BA5-9629-54068067695C}"/>
    <cellStyle name="Normal 8 3 7 4" xfId="10331" xr:uid="{60E8641D-1348-4418-A2B4-CC0FC9E8974E}"/>
    <cellStyle name="Normal 8 3 7 5" xfId="18779" xr:uid="{6B317896-D842-40BB-870B-AC71AF226BC9}"/>
    <cellStyle name="Normal 8 3 8" xfId="2206" xr:uid="{00000000-0005-0000-0000-0000C91D0000}"/>
    <cellStyle name="Normal 8 3 8 2" xfId="4435" xr:uid="{00000000-0005-0000-0000-0000CA1D0000}"/>
    <cellStyle name="Normal 8 3 8 2 2" xfId="8657" xr:uid="{00000000-0005-0000-0000-0000CB1D0000}"/>
    <cellStyle name="Normal 8 3 8 2 2 2" xfId="17107" xr:uid="{A2709339-C4EA-4358-8819-B348E62EE07A}"/>
    <cellStyle name="Normal 8 3 8 2 2 3" xfId="25554" xr:uid="{7FC81E38-E47D-461C-A675-42055CF3045E}"/>
    <cellStyle name="Normal 8 3 8 2 3" xfId="12889" xr:uid="{899B0854-EDAA-4423-A243-5E46A0A5760B}"/>
    <cellStyle name="Normal 8 3 8 2 4" xfId="21337" xr:uid="{D228F194-7167-4057-B5A1-CBE2E15AB670}"/>
    <cellStyle name="Normal 8 3 8 3" xfId="6512" xr:uid="{00000000-0005-0000-0000-0000CC1D0000}"/>
    <cellStyle name="Normal 8 3 8 3 2" xfId="14962" xr:uid="{C0F0EFCB-1127-476B-9C2B-BABCC8768AD5}"/>
    <cellStyle name="Normal 8 3 8 3 3" xfId="23409" xr:uid="{CA6C5411-BCB0-4CD4-9413-22CB3CAA654A}"/>
    <cellStyle name="Normal 8 3 8 4" xfId="10744" xr:uid="{64329828-71A0-4459-A2D6-94A3F1B02705}"/>
    <cellStyle name="Normal 8 3 8 5" xfId="19192" xr:uid="{5E425E6B-3767-4927-ABCE-EF68E488FEB4}"/>
    <cellStyle name="Normal 8 3 9" xfId="2642" xr:uid="{00000000-0005-0000-0000-0000CD1D0000}"/>
    <cellStyle name="Normal 8 3 9 2" xfId="6925" xr:uid="{00000000-0005-0000-0000-0000CE1D0000}"/>
    <cellStyle name="Normal 8 3 9 2 2" xfId="15375" xr:uid="{558B943A-CFDC-48B6-B07A-8F7E4FD7BA34}"/>
    <cellStyle name="Normal 8 3 9 2 3" xfId="23822" xr:uid="{F1FE3926-11AD-44B9-A976-B563E7819911}"/>
    <cellStyle name="Normal 8 3 9 3" xfId="11157" xr:uid="{B3FC458F-B185-4BE4-889A-CE97DEF66478}"/>
    <cellStyle name="Normal 8 3 9 4" xfId="19605" xr:uid="{4C1745EC-4518-4890-8FF1-9474474E5A78}"/>
    <cellStyle name="Normal 8 4" xfId="503" xr:uid="{00000000-0005-0000-0000-0000CF1D0000}"/>
    <cellStyle name="Normal 8 4 10" xfId="9100" xr:uid="{F6083298-ED57-4B72-8758-02F7C7BDF620}"/>
    <cellStyle name="Normal 8 4 11" xfId="17548" xr:uid="{F9B6F0B6-7FF7-4B36-857B-5CC0F073ABF5}"/>
    <cellStyle name="Normal 8 4 2" xfId="504" xr:uid="{00000000-0005-0000-0000-0000D01D0000}"/>
    <cellStyle name="Normal 8 4 2 10" xfId="17549" xr:uid="{FCF2DEDC-0A01-40F8-B395-A6792F9C3A13}"/>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2 2 2" xfId="15878" xr:uid="{242F4A91-ADE8-4FF9-B0E9-CACE9B644754}"/>
    <cellStyle name="Normal 8 4 2 2 2 2 2 3" xfId="24325" xr:uid="{30A5E57E-D0E1-42FF-B566-DEC8D4F15200}"/>
    <cellStyle name="Normal 8 4 2 2 2 2 3" xfId="11660" xr:uid="{B44E0036-46FC-44F4-962A-F6D44A585D8F}"/>
    <cellStyle name="Normal 8 4 2 2 2 2 4" xfId="20108" xr:uid="{BFE10E06-036E-4D70-9011-48B573370307}"/>
    <cellStyle name="Normal 8 4 2 2 2 3" xfId="5283" xr:uid="{00000000-0005-0000-0000-0000D51D0000}"/>
    <cellStyle name="Normal 8 4 2 2 2 3 2" xfId="13733" xr:uid="{38B3C4FD-2DCE-4CD2-B3A8-5A8F721DD0F8}"/>
    <cellStyle name="Normal 8 4 2 2 2 3 3" xfId="22180" xr:uid="{2CC98D45-D76D-44BA-A635-18E5A8734675}"/>
    <cellStyle name="Normal 8 4 2 2 2 4" xfId="9515" xr:uid="{8C17EE14-A63C-45C4-A2E4-7652062E74EF}"/>
    <cellStyle name="Normal 8 4 2 2 2 5" xfId="17963" xr:uid="{BCD73D28-F126-403C-8512-4C2E581B6EB4}"/>
    <cellStyle name="Normal 8 4 2 2 3" xfId="1389" xr:uid="{00000000-0005-0000-0000-0000D61D0000}"/>
    <cellStyle name="Normal 8 4 2 2 3 2" xfId="3619" xr:uid="{00000000-0005-0000-0000-0000D71D0000}"/>
    <cellStyle name="Normal 8 4 2 2 3 2 2" xfId="7841" xr:uid="{00000000-0005-0000-0000-0000D81D0000}"/>
    <cellStyle name="Normal 8 4 2 2 3 2 2 2" xfId="16291" xr:uid="{14F0F744-20B0-4F66-8D3D-5D6C21F1D749}"/>
    <cellStyle name="Normal 8 4 2 2 3 2 2 3" xfId="24738" xr:uid="{BD1A80F9-ECCF-4A4C-B4BF-25C1CDC68041}"/>
    <cellStyle name="Normal 8 4 2 2 3 2 3" xfId="12073" xr:uid="{88AF3411-E72A-44E4-B8F3-F7369E024378}"/>
    <cellStyle name="Normal 8 4 2 2 3 2 4" xfId="20521" xr:uid="{C10ADB1B-6477-4E4B-9C75-21F0084FDE8D}"/>
    <cellStyle name="Normal 8 4 2 2 3 3" xfId="5696" xr:uid="{00000000-0005-0000-0000-0000D91D0000}"/>
    <cellStyle name="Normal 8 4 2 2 3 3 2" xfId="14146" xr:uid="{0FCAE4CF-56E3-4E90-A0A1-3B77658CFA49}"/>
    <cellStyle name="Normal 8 4 2 2 3 3 3" xfId="22593" xr:uid="{2D58EE25-BAF9-480F-A97F-8E75A4E4384D}"/>
    <cellStyle name="Normal 8 4 2 2 3 4" xfId="9928" xr:uid="{BD57ECA8-6B75-4EFB-BB1E-FD469D5EBE64}"/>
    <cellStyle name="Normal 8 4 2 2 3 5" xfId="18376" xr:uid="{B1E42100-E97E-425C-8A70-3F5E393B70B0}"/>
    <cellStyle name="Normal 8 4 2 2 4" xfId="1802" xr:uid="{00000000-0005-0000-0000-0000DA1D0000}"/>
    <cellStyle name="Normal 8 4 2 2 4 2" xfId="4032" xr:uid="{00000000-0005-0000-0000-0000DB1D0000}"/>
    <cellStyle name="Normal 8 4 2 2 4 2 2" xfId="8254" xr:uid="{00000000-0005-0000-0000-0000DC1D0000}"/>
    <cellStyle name="Normal 8 4 2 2 4 2 2 2" xfId="16704" xr:uid="{EE4A532A-2FE0-44FE-99CE-7EC580E64BD6}"/>
    <cellStyle name="Normal 8 4 2 2 4 2 2 3" xfId="25151" xr:uid="{8B739335-C562-4E10-8F3F-0FEBCF4264D2}"/>
    <cellStyle name="Normal 8 4 2 2 4 2 3" xfId="12486" xr:uid="{659AAB67-F473-4168-89CB-D78EB3AFA4DE}"/>
    <cellStyle name="Normal 8 4 2 2 4 2 4" xfId="20934" xr:uid="{E4BA3358-4BAA-449E-BCA0-53E596B6CA66}"/>
    <cellStyle name="Normal 8 4 2 2 4 3" xfId="6109" xr:uid="{00000000-0005-0000-0000-0000DD1D0000}"/>
    <cellStyle name="Normal 8 4 2 2 4 3 2" xfId="14559" xr:uid="{1C4996EA-3DF5-46F3-9FB1-AC6920EB26F1}"/>
    <cellStyle name="Normal 8 4 2 2 4 3 3" xfId="23006" xr:uid="{8A2506D8-9B02-46AF-BE66-AED9F32991DE}"/>
    <cellStyle name="Normal 8 4 2 2 4 4" xfId="10341" xr:uid="{2C67F98F-0DBB-4D89-BBD5-EC7B9394B79B}"/>
    <cellStyle name="Normal 8 4 2 2 4 5" xfId="18789" xr:uid="{DB12CA09-0AE1-4508-BCEC-24109AD7561A}"/>
    <cellStyle name="Normal 8 4 2 2 5" xfId="2216" xr:uid="{00000000-0005-0000-0000-0000DE1D0000}"/>
    <cellStyle name="Normal 8 4 2 2 5 2" xfId="4445" xr:uid="{00000000-0005-0000-0000-0000DF1D0000}"/>
    <cellStyle name="Normal 8 4 2 2 5 2 2" xfId="8667" xr:uid="{00000000-0005-0000-0000-0000E01D0000}"/>
    <cellStyle name="Normal 8 4 2 2 5 2 2 2" xfId="17117" xr:uid="{9CCDF82C-7E4E-4FAE-8865-8FC9782C3C30}"/>
    <cellStyle name="Normal 8 4 2 2 5 2 2 3" xfId="25564" xr:uid="{F4D0CF0E-C3ED-42FB-81C9-4A8B4EEDBA38}"/>
    <cellStyle name="Normal 8 4 2 2 5 2 3" xfId="12899" xr:uid="{9C49A2CB-60B3-4821-BD93-373461BAFB60}"/>
    <cellStyle name="Normal 8 4 2 2 5 2 4" xfId="21347" xr:uid="{BBC13CB9-0A3D-4542-8DF9-D0602FDF0AF0}"/>
    <cellStyle name="Normal 8 4 2 2 5 3" xfId="6522" xr:uid="{00000000-0005-0000-0000-0000E11D0000}"/>
    <cellStyle name="Normal 8 4 2 2 5 3 2" xfId="14972" xr:uid="{39941ED9-0680-409F-BCF5-BBD31227D0CD}"/>
    <cellStyle name="Normal 8 4 2 2 5 3 3" xfId="23419" xr:uid="{E43A7175-18C0-42F1-A3E4-5B005BFC0F87}"/>
    <cellStyle name="Normal 8 4 2 2 5 4" xfId="10754" xr:uid="{84BD15EA-BE21-44D7-A35A-22E69188E307}"/>
    <cellStyle name="Normal 8 4 2 2 5 5" xfId="19202" xr:uid="{6543B970-4DCB-4734-BF7B-94C3A7C4BB64}"/>
    <cellStyle name="Normal 8 4 2 2 6" xfId="2652" xr:uid="{00000000-0005-0000-0000-0000E21D0000}"/>
    <cellStyle name="Normal 8 4 2 2 6 2" xfId="6935" xr:uid="{00000000-0005-0000-0000-0000E31D0000}"/>
    <cellStyle name="Normal 8 4 2 2 6 2 2" xfId="15385" xr:uid="{4B254D95-1FD4-413F-B339-2FD94ABD07F2}"/>
    <cellStyle name="Normal 8 4 2 2 6 2 3" xfId="23832" xr:uid="{9A9F2C05-7704-4389-8C00-ECE1DEFBA055}"/>
    <cellStyle name="Normal 8 4 2 2 6 3" xfId="11167" xr:uid="{4D092FBB-F35C-4C6D-A84F-DF565DD6CC55}"/>
    <cellStyle name="Normal 8 4 2 2 6 4" xfId="19615" xr:uid="{CDA9E6C3-3BF5-4B3E-9B8D-C2D94FB725E9}"/>
    <cellStyle name="Normal 8 4 2 2 7" xfId="4870" xr:uid="{00000000-0005-0000-0000-0000E41D0000}"/>
    <cellStyle name="Normal 8 4 2 2 7 2" xfId="13320" xr:uid="{8A5A15F9-3073-4ADA-B8D4-5ACAFADB89E0}"/>
    <cellStyle name="Normal 8 4 2 2 7 3" xfId="21767" xr:uid="{985EC9F4-28F2-4B41-8D82-37E51E923DB7}"/>
    <cellStyle name="Normal 8 4 2 2 8" xfId="9102" xr:uid="{8B812C47-CF91-4450-973A-9A09D9653127}"/>
    <cellStyle name="Normal 8 4 2 2 9" xfId="17550" xr:uid="{923BDA6D-1F3E-4E84-B8E3-22F04D1486F0}"/>
    <cellStyle name="Normal 8 4 2 3" xfId="971" xr:uid="{00000000-0005-0000-0000-0000E51D0000}"/>
    <cellStyle name="Normal 8 4 2 3 2" xfId="3205" xr:uid="{00000000-0005-0000-0000-0000E61D0000}"/>
    <cellStyle name="Normal 8 4 2 3 2 2" xfId="7427" xr:uid="{00000000-0005-0000-0000-0000E71D0000}"/>
    <cellStyle name="Normal 8 4 2 3 2 2 2" xfId="15877" xr:uid="{838069F3-14E7-44E6-90E3-46D9E1AB6E6D}"/>
    <cellStyle name="Normal 8 4 2 3 2 2 3" xfId="24324" xr:uid="{17BC19A6-2DDB-4050-A2D1-2EB338DC2A1F}"/>
    <cellStyle name="Normal 8 4 2 3 2 3" xfId="11659" xr:uid="{C8DB8B56-E104-4A60-A5AC-E4D35803C988}"/>
    <cellStyle name="Normal 8 4 2 3 2 4" xfId="20107" xr:uid="{49473D02-1C16-4EB0-9F3E-0635E21EE07D}"/>
    <cellStyle name="Normal 8 4 2 3 3" xfId="5282" xr:uid="{00000000-0005-0000-0000-0000E81D0000}"/>
    <cellStyle name="Normal 8 4 2 3 3 2" xfId="13732" xr:uid="{9F137885-1B26-46A3-BF55-7D02D6EDE4FD}"/>
    <cellStyle name="Normal 8 4 2 3 3 3" xfId="22179" xr:uid="{B9BD5CD5-B141-4C41-A136-85C385332E32}"/>
    <cellStyle name="Normal 8 4 2 3 4" xfId="9514" xr:uid="{2277988A-3C21-41E9-8140-B08E4ED020DF}"/>
    <cellStyle name="Normal 8 4 2 3 5" xfId="17962" xr:uid="{A58C930E-0E67-4442-865D-96FBE6A3BF6B}"/>
    <cellStyle name="Normal 8 4 2 4" xfId="1388" xr:uid="{00000000-0005-0000-0000-0000E91D0000}"/>
    <cellStyle name="Normal 8 4 2 4 2" xfId="3618" xr:uid="{00000000-0005-0000-0000-0000EA1D0000}"/>
    <cellStyle name="Normal 8 4 2 4 2 2" xfId="7840" xr:uid="{00000000-0005-0000-0000-0000EB1D0000}"/>
    <cellStyle name="Normal 8 4 2 4 2 2 2" xfId="16290" xr:uid="{B136C320-923C-43A6-81DF-FBEED7EC71DF}"/>
    <cellStyle name="Normal 8 4 2 4 2 2 3" xfId="24737" xr:uid="{8E893040-5129-4978-AF61-F11E36A8F1AF}"/>
    <cellStyle name="Normal 8 4 2 4 2 3" xfId="12072" xr:uid="{77DE1A36-76F2-494A-9C07-EF2C297144D3}"/>
    <cellStyle name="Normal 8 4 2 4 2 4" xfId="20520" xr:uid="{FD5EFA08-FE0A-42DC-A98F-54192B9A0081}"/>
    <cellStyle name="Normal 8 4 2 4 3" xfId="5695" xr:uid="{00000000-0005-0000-0000-0000EC1D0000}"/>
    <cellStyle name="Normal 8 4 2 4 3 2" xfId="14145" xr:uid="{8D64D73A-0942-4037-B13F-AFBC204964EB}"/>
    <cellStyle name="Normal 8 4 2 4 3 3" xfId="22592" xr:uid="{A1C1C7BF-9B03-4F2E-AF3E-B9E51AA921B5}"/>
    <cellStyle name="Normal 8 4 2 4 4" xfId="9927" xr:uid="{9C655F51-4588-41ED-9F18-15FDFC13E8C6}"/>
    <cellStyle name="Normal 8 4 2 4 5" xfId="18375" xr:uid="{B5A47C74-43A5-4965-96CA-0533A2CED934}"/>
    <cellStyle name="Normal 8 4 2 5" xfId="1801" xr:uid="{00000000-0005-0000-0000-0000ED1D0000}"/>
    <cellStyle name="Normal 8 4 2 5 2" xfId="4031" xr:uid="{00000000-0005-0000-0000-0000EE1D0000}"/>
    <cellStyle name="Normal 8 4 2 5 2 2" xfId="8253" xr:uid="{00000000-0005-0000-0000-0000EF1D0000}"/>
    <cellStyle name="Normal 8 4 2 5 2 2 2" xfId="16703" xr:uid="{6728FC89-E00D-40E8-B93C-F372FEE6B084}"/>
    <cellStyle name="Normal 8 4 2 5 2 2 3" xfId="25150" xr:uid="{D66ACF8E-691B-46DF-96C3-A568C3F793E4}"/>
    <cellStyle name="Normal 8 4 2 5 2 3" xfId="12485" xr:uid="{1FBF0E13-9C53-41CD-8CE1-0BA6352C1B63}"/>
    <cellStyle name="Normal 8 4 2 5 2 4" xfId="20933" xr:uid="{314EFEB3-DC4C-423D-85D5-29208A19FE85}"/>
    <cellStyle name="Normal 8 4 2 5 3" xfId="6108" xr:uid="{00000000-0005-0000-0000-0000F01D0000}"/>
    <cellStyle name="Normal 8 4 2 5 3 2" xfId="14558" xr:uid="{8947302A-E040-41E3-B1DF-3D25EA6C2968}"/>
    <cellStyle name="Normal 8 4 2 5 3 3" xfId="23005" xr:uid="{13CE0A6D-35FE-4756-932A-06D78CA015A3}"/>
    <cellStyle name="Normal 8 4 2 5 4" xfId="10340" xr:uid="{42573DD3-26C8-49EE-B74D-1AD258B96839}"/>
    <cellStyle name="Normal 8 4 2 5 5" xfId="18788" xr:uid="{2582339F-DEF5-4197-96E9-E22F8177A164}"/>
    <cellStyle name="Normal 8 4 2 6" xfId="2215" xr:uid="{00000000-0005-0000-0000-0000F11D0000}"/>
    <cellStyle name="Normal 8 4 2 6 2" xfId="4444" xr:uid="{00000000-0005-0000-0000-0000F21D0000}"/>
    <cellStyle name="Normal 8 4 2 6 2 2" xfId="8666" xr:uid="{00000000-0005-0000-0000-0000F31D0000}"/>
    <cellStyle name="Normal 8 4 2 6 2 2 2" xfId="17116" xr:uid="{9F0E00AD-40FD-46A5-AE9F-4F7CC75093B6}"/>
    <cellStyle name="Normal 8 4 2 6 2 2 3" xfId="25563" xr:uid="{9FB42944-E8DF-4D5A-9244-86BFDA8CC734}"/>
    <cellStyle name="Normal 8 4 2 6 2 3" xfId="12898" xr:uid="{00D21CC5-675E-46E4-9300-E728EF59E9E6}"/>
    <cellStyle name="Normal 8 4 2 6 2 4" xfId="21346" xr:uid="{57A30C12-91FD-41A5-AD85-250B193D33D6}"/>
    <cellStyle name="Normal 8 4 2 6 3" xfId="6521" xr:uid="{00000000-0005-0000-0000-0000F41D0000}"/>
    <cellStyle name="Normal 8 4 2 6 3 2" xfId="14971" xr:uid="{E892AF4D-1E59-4063-BB8B-D4DEFB2A7F58}"/>
    <cellStyle name="Normal 8 4 2 6 3 3" xfId="23418" xr:uid="{C439A54B-DE02-4BE3-8766-CDF75180EAA8}"/>
    <cellStyle name="Normal 8 4 2 6 4" xfId="10753" xr:uid="{BA414AAE-1F6A-4350-B5ED-5EE250247610}"/>
    <cellStyle name="Normal 8 4 2 6 5" xfId="19201" xr:uid="{7EED7372-2318-494E-B177-73509660B6C7}"/>
    <cellStyle name="Normal 8 4 2 7" xfId="2651" xr:uid="{00000000-0005-0000-0000-0000F51D0000}"/>
    <cellStyle name="Normal 8 4 2 7 2" xfId="6934" xr:uid="{00000000-0005-0000-0000-0000F61D0000}"/>
    <cellStyle name="Normal 8 4 2 7 2 2" xfId="15384" xr:uid="{8939289B-6C93-437C-B4C8-265145941034}"/>
    <cellStyle name="Normal 8 4 2 7 2 3" xfId="23831" xr:uid="{CED6ECF5-90A2-43C1-9BA6-E43FEC94E1F5}"/>
    <cellStyle name="Normal 8 4 2 7 3" xfId="11166" xr:uid="{15C09C78-ED09-4953-812A-A7FBF1ED2B75}"/>
    <cellStyle name="Normal 8 4 2 7 4" xfId="19614" xr:uid="{CF2DC1AD-324C-44DF-8448-E3D6228234DB}"/>
    <cellStyle name="Normal 8 4 2 8" xfId="4869" xr:uid="{00000000-0005-0000-0000-0000F71D0000}"/>
    <cellStyle name="Normal 8 4 2 8 2" xfId="13319" xr:uid="{AB61480D-C38C-46A3-9616-BB80A65B2C17}"/>
    <cellStyle name="Normal 8 4 2 8 3" xfId="21766" xr:uid="{1ADC0902-0EA1-4CB6-9478-FE24496C70FF}"/>
    <cellStyle name="Normal 8 4 2 9" xfId="9101" xr:uid="{06487A02-B419-41F8-AADD-EA236DC315AE}"/>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2 2 2" xfId="15879" xr:uid="{25C95D2D-C1FB-480C-A28A-F1CE57EB52F0}"/>
    <cellStyle name="Normal 8 4 3 2 2 2 3" xfId="24326" xr:uid="{5B1B325D-1DE1-448C-A2E4-75172A68D342}"/>
    <cellStyle name="Normal 8 4 3 2 2 3" xfId="11661" xr:uid="{E5C23138-9E62-42FB-8D94-63459B64157F}"/>
    <cellStyle name="Normal 8 4 3 2 2 4" xfId="20109" xr:uid="{DC97B979-346D-466C-AAFF-98C90F30E13A}"/>
    <cellStyle name="Normal 8 4 3 2 3" xfId="5284" xr:uid="{00000000-0005-0000-0000-0000FC1D0000}"/>
    <cellStyle name="Normal 8 4 3 2 3 2" xfId="13734" xr:uid="{A106662D-6C92-4486-98AA-0AF6995EA913}"/>
    <cellStyle name="Normal 8 4 3 2 3 3" xfId="22181" xr:uid="{B2D764BD-FD95-4FE2-BD23-DD4F8258B910}"/>
    <cellStyle name="Normal 8 4 3 2 4" xfId="9516" xr:uid="{9C9D7614-74AC-4204-83CA-A786C2AF7853}"/>
    <cellStyle name="Normal 8 4 3 2 5" xfId="17964" xr:uid="{7C9FC18D-2473-4C09-9564-CC1F3129AADB}"/>
    <cellStyle name="Normal 8 4 3 3" xfId="1390" xr:uid="{00000000-0005-0000-0000-0000FD1D0000}"/>
    <cellStyle name="Normal 8 4 3 3 2" xfId="3620" xr:uid="{00000000-0005-0000-0000-0000FE1D0000}"/>
    <cellStyle name="Normal 8 4 3 3 2 2" xfId="7842" xr:uid="{00000000-0005-0000-0000-0000FF1D0000}"/>
    <cellStyle name="Normal 8 4 3 3 2 2 2" xfId="16292" xr:uid="{158B1D3A-9D21-44BA-814A-12E1E29D230E}"/>
    <cellStyle name="Normal 8 4 3 3 2 2 3" xfId="24739" xr:uid="{48B967E4-2BE7-4237-A038-B348C7704A62}"/>
    <cellStyle name="Normal 8 4 3 3 2 3" xfId="12074" xr:uid="{E299A6B5-8CE7-47A3-A4E7-760FBFC1F0B8}"/>
    <cellStyle name="Normal 8 4 3 3 2 4" xfId="20522" xr:uid="{1311B0B3-AE76-4AE7-9E62-EC2B4F20FE78}"/>
    <cellStyle name="Normal 8 4 3 3 3" xfId="5697" xr:uid="{00000000-0005-0000-0000-0000001E0000}"/>
    <cellStyle name="Normal 8 4 3 3 3 2" xfId="14147" xr:uid="{598E047A-E8C2-4699-A7AE-A9085C1BE003}"/>
    <cellStyle name="Normal 8 4 3 3 3 3" xfId="22594" xr:uid="{E2294CD3-DC74-4D69-95F5-207041293A0F}"/>
    <cellStyle name="Normal 8 4 3 3 4" xfId="9929" xr:uid="{40224E80-9277-4430-947D-BFABF4A8252A}"/>
    <cellStyle name="Normal 8 4 3 3 5" xfId="18377" xr:uid="{23ADD496-4969-4749-A15B-DD13677EB822}"/>
    <cellStyle name="Normal 8 4 3 4" xfId="1803" xr:uid="{00000000-0005-0000-0000-0000011E0000}"/>
    <cellStyle name="Normal 8 4 3 4 2" xfId="4033" xr:uid="{00000000-0005-0000-0000-0000021E0000}"/>
    <cellStyle name="Normal 8 4 3 4 2 2" xfId="8255" xr:uid="{00000000-0005-0000-0000-0000031E0000}"/>
    <cellStyle name="Normal 8 4 3 4 2 2 2" xfId="16705" xr:uid="{F0AE78D0-81E4-4579-8842-113C044BB21B}"/>
    <cellStyle name="Normal 8 4 3 4 2 2 3" xfId="25152" xr:uid="{EDBCC469-2BE9-4B3E-AC85-9BC90287C21C}"/>
    <cellStyle name="Normal 8 4 3 4 2 3" xfId="12487" xr:uid="{81FC30D8-F581-4239-A7BE-7A50B403DA04}"/>
    <cellStyle name="Normal 8 4 3 4 2 4" xfId="20935" xr:uid="{09BA6F7F-39B3-495B-8C79-EE18554EB465}"/>
    <cellStyle name="Normal 8 4 3 4 3" xfId="6110" xr:uid="{00000000-0005-0000-0000-0000041E0000}"/>
    <cellStyle name="Normal 8 4 3 4 3 2" xfId="14560" xr:uid="{07C72987-5C66-48BA-9E7C-598AEABBBE56}"/>
    <cellStyle name="Normal 8 4 3 4 3 3" xfId="23007" xr:uid="{8036F725-341B-4EFF-B8B2-2782401BC3BD}"/>
    <cellStyle name="Normal 8 4 3 4 4" xfId="10342" xr:uid="{E45A3A4C-81DB-49A3-905C-E600C6BB9D54}"/>
    <cellStyle name="Normal 8 4 3 4 5" xfId="18790" xr:uid="{E8ADB975-19C7-4969-A86E-D29A8AF42B02}"/>
    <cellStyle name="Normal 8 4 3 5" xfId="2217" xr:uid="{00000000-0005-0000-0000-0000051E0000}"/>
    <cellStyle name="Normal 8 4 3 5 2" xfId="4446" xr:uid="{00000000-0005-0000-0000-0000061E0000}"/>
    <cellStyle name="Normal 8 4 3 5 2 2" xfId="8668" xr:uid="{00000000-0005-0000-0000-0000071E0000}"/>
    <cellStyle name="Normal 8 4 3 5 2 2 2" xfId="17118" xr:uid="{EC235AD1-128D-49DC-B407-E3FDA00F1064}"/>
    <cellStyle name="Normal 8 4 3 5 2 2 3" xfId="25565" xr:uid="{879167E7-7613-42E9-BE9E-338F16A24F81}"/>
    <cellStyle name="Normal 8 4 3 5 2 3" xfId="12900" xr:uid="{9B55E482-4235-4EA0-821A-DE866A4D7B6B}"/>
    <cellStyle name="Normal 8 4 3 5 2 4" xfId="21348" xr:uid="{6E07369F-1636-4978-BEC0-172F333D13AA}"/>
    <cellStyle name="Normal 8 4 3 5 3" xfId="6523" xr:uid="{00000000-0005-0000-0000-0000081E0000}"/>
    <cellStyle name="Normal 8 4 3 5 3 2" xfId="14973" xr:uid="{1C6C6F48-84D5-47E7-AFA9-24B4E730D6A6}"/>
    <cellStyle name="Normal 8 4 3 5 3 3" xfId="23420" xr:uid="{0E322727-52E3-4C87-888B-70B281C2254E}"/>
    <cellStyle name="Normal 8 4 3 5 4" xfId="10755" xr:uid="{55D6F11C-3380-4AF7-9798-F705761B63E8}"/>
    <cellStyle name="Normal 8 4 3 5 5" xfId="19203" xr:uid="{ABE2868C-1E19-420E-A82A-95F226CD4BC1}"/>
    <cellStyle name="Normal 8 4 3 6" xfId="2653" xr:uid="{00000000-0005-0000-0000-0000091E0000}"/>
    <cellStyle name="Normal 8 4 3 6 2" xfId="6936" xr:uid="{00000000-0005-0000-0000-00000A1E0000}"/>
    <cellStyle name="Normal 8 4 3 6 2 2" xfId="15386" xr:uid="{D0B13745-4262-4AAE-BCBD-8637F6E6D47E}"/>
    <cellStyle name="Normal 8 4 3 6 2 3" xfId="23833" xr:uid="{CA4EAD57-75B7-4432-9C2C-988C701B5740}"/>
    <cellStyle name="Normal 8 4 3 6 3" xfId="11168" xr:uid="{EAFC9CFB-E1F3-4921-A5D1-0848F5C2E626}"/>
    <cellStyle name="Normal 8 4 3 6 4" xfId="19616" xr:uid="{C3691E84-2B8A-477F-95E3-F5C67AA92D77}"/>
    <cellStyle name="Normal 8 4 3 7" xfId="4871" xr:uid="{00000000-0005-0000-0000-00000B1E0000}"/>
    <cellStyle name="Normal 8 4 3 7 2" xfId="13321" xr:uid="{34585B67-0422-4955-B06A-9EE58F2947EF}"/>
    <cellStyle name="Normal 8 4 3 7 3" xfId="21768" xr:uid="{9D4C8601-2CE3-4B4E-8926-B85A1DFAE5F4}"/>
    <cellStyle name="Normal 8 4 3 8" xfId="9103" xr:uid="{866391DA-2050-450D-B0D1-1695AF12C38F}"/>
    <cellStyle name="Normal 8 4 3 9" xfId="17551" xr:uid="{9CC1BD23-47F1-4E7A-B597-F658117B1455}"/>
    <cellStyle name="Normal 8 4 4" xfId="970" xr:uid="{00000000-0005-0000-0000-00000C1E0000}"/>
    <cellStyle name="Normal 8 4 4 2" xfId="3204" xr:uid="{00000000-0005-0000-0000-00000D1E0000}"/>
    <cellStyle name="Normal 8 4 4 2 2" xfId="7426" xr:uid="{00000000-0005-0000-0000-00000E1E0000}"/>
    <cellStyle name="Normal 8 4 4 2 2 2" xfId="15876" xr:uid="{140C337B-5435-492C-9396-38B4CB89C981}"/>
    <cellStyle name="Normal 8 4 4 2 2 3" xfId="24323" xr:uid="{6B33E9DF-BFEA-4F02-98F8-0BBBA2F336E0}"/>
    <cellStyle name="Normal 8 4 4 2 3" xfId="11658" xr:uid="{51F35758-7F88-40B7-989E-12BEE8B8B7CB}"/>
    <cellStyle name="Normal 8 4 4 2 4" xfId="20106" xr:uid="{DC54B7A2-2214-41C1-8E80-9B9770043F38}"/>
    <cellStyle name="Normal 8 4 4 3" xfId="5281" xr:uid="{00000000-0005-0000-0000-00000F1E0000}"/>
    <cellStyle name="Normal 8 4 4 3 2" xfId="13731" xr:uid="{39A2B843-E30E-4FA5-B49B-DE7B04764BC8}"/>
    <cellStyle name="Normal 8 4 4 3 3" xfId="22178" xr:uid="{DBF46A6D-5BA3-4AC9-8A75-869351106FEB}"/>
    <cellStyle name="Normal 8 4 4 4" xfId="9513" xr:uid="{43D76225-6C4B-411A-94B6-96CC1EC50B06}"/>
    <cellStyle name="Normal 8 4 4 5" xfId="17961" xr:uid="{717A71BC-A8DB-46FB-A5D4-1D574F9ADD47}"/>
    <cellStyle name="Normal 8 4 5" xfId="1387" xr:uid="{00000000-0005-0000-0000-0000101E0000}"/>
    <cellStyle name="Normal 8 4 5 2" xfId="3617" xr:uid="{00000000-0005-0000-0000-0000111E0000}"/>
    <cellStyle name="Normal 8 4 5 2 2" xfId="7839" xr:uid="{00000000-0005-0000-0000-0000121E0000}"/>
    <cellStyle name="Normal 8 4 5 2 2 2" xfId="16289" xr:uid="{66DF8873-EE63-4204-A153-2304FF70F637}"/>
    <cellStyle name="Normal 8 4 5 2 2 3" xfId="24736" xr:uid="{AF7E4F32-B49B-499D-BCE9-1905C26386B3}"/>
    <cellStyle name="Normal 8 4 5 2 3" xfId="12071" xr:uid="{F798DF43-8ACE-4C3D-8722-7E8FB2C0330D}"/>
    <cellStyle name="Normal 8 4 5 2 4" xfId="20519" xr:uid="{C219D4C2-2345-4CDB-94C2-6B3963E8A0A3}"/>
    <cellStyle name="Normal 8 4 5 3" xfId="5694" xr:uid="{00000000-0005-0000-0000-0000131E0000}"/>
    <cellStyle name="Normal 8 4 5 3 2" xfId="14144" xr:uid="{896FAB8A-5FCC-4141-BF4E-12DE2DDD8443}"/>
    <cellStyle name="Normal 8 4 5 3 3" xfId="22591" xr:uid="{BD64F6BE-7393-4F5B-AA3E-CDE8AD116F79}"/>
    <cellStyle name="Normal 8 4 5 4" xfId="9926" xr:uid="{B0DE2C83-FABC-4C44-9CE5-A56D17D5D073}"/>
    <cellStyle name="Normal 8 4 5 5" xfId="18374" xr:uid="{CA45B393-AFA8-442A-8499-B35C860A27A0}"/>
    <cellStyle name="Normal 8 4 6" xfId="1800" xr:uid="{00000000-0005-0000-0000-0000141E0000}"/>
    <cellStyle name="Normal 8 4 6 2" xfId="4030" xr:uid="{00000000-0005-0000-0000-0000151E0000}"/>
    <cellStyle name="Normal 8 4 6 2 2" xfId="8252" xr:uid="{00000000-0005-0000-0000-0000161E0000}"/>
    <cellStyle name="Normal 8 4 6 2 2 2" xfId="16702" xr:uid="{EEFB2BDD-1A5E-44E2-B8AA-81846EC75F19}"/>
    <cellStyle name="Normal 8 4 6 2 2 3" xfId="25149" xr:uid="{6ED8513C-ED54-4C75-B003-EC3915C425DD}"/>
    <cellStyle name="Normal 8 4 6 2 3" xfId="12484" xr:uid="{9C510BC9-EFE2-419D-A315-6617EB5A8375}"/>
    <cellStyle name="Normal 8 4 6 2 4" xfId="20932" xr:uid="{1EF8A51A-C671-4445-B3A5-299DFDA08846}"/>
    <cellStyle name="Normal 8 4 6 3" xfId="6107" xr:uid="{00000000-0005-0000-0000-0000171E0000}"/>
    <cellStyle name="Normal 8 4 6 3 2" xfId="14557" xr:uid="{94A2CFF7-A535-4811-998F-2ED02B491CA4}"/>
    <cellStyle name="Normal 8 4 6 3 3" xfId="23004" xr:uid="{B4550A66-0193-43EB-AD9A-F5A8D2EBE25E}"/>
    <cellStyle name="Normal 8 4 6 4" xfId="10339" xr:uid="{9F821C59-E911-45E7-97E7-BD8CCC1C4DC5}"/>
    <cellStyle name="Normal 8 4 6 5" xfId="18787" xr:uid="{4432BE6D-2FB6-40BF-9DE8-0D4DB93A6B13}"/>
    <cellStyle name="Normal 8 4 7" xfId="2214" xr:uid="{00000000-0005-0000-0000-0000181E0000}"/>
    <cellStyle name="Normal 8 4 7 2" xfId="4443" xr:uid="{00000000-0005-0000-0000-0000191E0000}"/>
    <cellStyle name="Normal 8 4 7 2 2" xfId="8665" xr:uid="{00000000-0005-0000-0000-00001A1E0000}"/>
    <cellStyle name="Normal 8 4 7 2 2 2" xfId="17115" xr:uid="{9878D876-B6B9-4B4F-A2D8-1B82E11670B2}"/>
    <cellStyle name="Normal 8 4 7 2 2 3" xfId="25562" xr:uid="{25A98DCB-74F2-45B9-A56A-46865BBA5833}"/>
    <cellStyle name="Normal 8 4 7 2 3" xfId="12897" xr:uid="{9B010BEF-2B57-4865-8E48-E8E8F851B096}"/>
    <cellStyle name="Normal 8 4 7 2 4" xfId="21345" xr:uid="{51389C88-E115-462F-9729-4174C45348E2}"/>
    <cellStyle name="Normal 8 4 7 3" xfId="6520" xr:uid="{00000000-0005-0000-0000-00001B1E0000}"/>
    <cellStyle name="Normal 8 4 7 3 2" xfId="14970" xr:uid="{BA1F4FC6-6D9C-4791-9348-C6E3002822A6}"/>
    <cellStyle name="Normal 8 4 7 3 3" xfId="23417" xr:uid="{1424A0E2-2403-4AB5-A054-0D624F590C15}"/>
    <cellStyle name="Normal 8 4 7 4" xfId="10752" xr:uid="{7ADA9F40-795F-48BF-9B99-FEF534972287}"/>
    <cellStyle name="Normal 8 4 7 5" xfId="19200" xr:uid="{8C094FFA-CCCB-41A2-8A8B-B67CA484236A}"/>
    <cellStyle name="Normal 8 4 8" xfId="2650" xr:uid="{00000000-0005-0000-0000-00001C1E0000}"/>
    <cellStyle name="Normal 8 4 8 2" xfId="6933" xr:uid="{00000000-0005-0000-0000-00001D1E0000}"/>
    <cellStyle name="Normal 8 4 8 2 2" xfId="15383" xr:uid="{9CE58448-AAAB-4B2D-80D9-E88DFCD5FD8F}"/>
    <cellStyle name="Normal 8 4 8 2 3" xfId="23830" xr:uid="{38F5FB10-BC2D-4FA2-A9CC-51405CFB4846}"/>
    <cellStyle name="Normal 8 4 8 3" xfId="11165" xr:uid="{782779B4-9BFE-4431-B72E-4DF77F6FFBBC}"/>
    <cellStyle name="Normal 8 4 8 4" xfId="19613" xr:uid="{CF5352C2-1B87-4599-9C87-41B88A2D3D73}"/>
    <cellStyle name="Normal 8 4 9" xfId="4868" xr:uid="{00000000-0005-0000-0000-00001E1E0000}"/>
    <cellStyle name="Normal 8 4 9 2" xfId="13318" xr:uid="{91DEE9DC-3A30-496D-B1E9-B934EE6039AD}"/>
    <cellStyle name="Normal 8 4 9 3" xfId="21765" xr:uid="{B750E5C4-7A9C-4314-A9FA-3B44CE04C9BD}"/>
    <cellStyle name="Normal 8 5" xfId="507" xr:uid="{00000000-0005-0000-0000-00001F1E0000}"/>
    <cellStyle name="Normal 8 5 10" xfId="17552" xr:uid="{97C55205-708F-4AA7-A83E-781C2797A322}"/>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2 2 2" xfId="15881" xr:uid="{E4D93D3B-7BF3-4429-A7B5-CCD9E0029431}"/>
    <cellStyle name="Normal 8 5 2 2 2 2 3" xfId="24328" xr:uid="{CCA63BF3-9D07-4A89-A234-562803099AC5}"/>
    <cellStyle name="Normal 8 5 2 2 2 3" xfId="11663" xr:uid="{ADFEC8D7-D9E1-4159-B5F3-B5BB4094D9DF}"/>
    <cellStyle name="Normal 8 5 2 2 2 4" xfId="20111" xr:uid="{0E6F2097-B878-4D7F-BF2A-B5182DA519AA}"/>
    <cellStyle name="Normal 8 5 2 2 3" xfId="5286" xr:uid="{00000000-0005-0000-0000-0000241E0000}"/>
    <cellStyle name="Normal 8 5 2 2 3 2" xfId="13736" xr:uid="{7A48CEBF-55D1-4CBF-90AB-4DE8310601E1}"/>
    <cellStyle name="Normal 8 5 2 2 3 3" xfId="22183" xr:uid="{3FAABFDD-7CDC-4D57-BA20-7539F9819B8E}"/>
    <cellStyle name="Normal 8 5 2 2 4" xfId="9518" xr:uid="{1E97F1AD-3E95-4AF3-81D5-47923ECEB3D2}"/>
    <cellStyle name="Normal 8 5 2 2 5" xfId="17966" xr:uid="{2290E5D4-43EB-413F-9DD8-A7AA46708C2E}"/>
    <cellStyle name="Normal 8 5 2 3" xfId="1392" xr:uid="{00000000-0005-0000-0000-0000251E0000}"/>
    <cellStyle name="Normal 8 5 2 3 2" xfId="3622" xr:uid="{00000000-0005-0000-0000-0000261E0000}"/>
    <cellStyle name="Normal 8 5 2 3 2 2" xfId="7844" xr:uid="{00000000-0005-0000-0000-0000271E0000}"/>
    <cellStyle name="Normal 8 5 2 3 2 2 2" xfId="16294" xr:uid="{3740CB4B-1382-42E7-AAF4-0F666F952FA4}"/>
    <cellStyle name="Normal 8 5 2 3 2 2 3" xfId="24741" xr:uid="{A6FB1508-F109-4B44-A7E6-F3E2462E2762}"/>
    <cellStyle name="Normal 8 5 2 3 2 3" xfId="12076" xr:uid="{2C9CBF08-5E27-4C16-937E-38A9A9783108}"/>
    <cellStyle name="Normal 8 5 2 3 2 4" xfId="20524" xr:uid="{A0069151-61CA-40F6-8BFF-48FF55EBACD9}"/>
    <cellStyle name="Normal 8 5 2 3 3" xfId="5699" xr:uid="{00000000-0005-0000-0000-0000281E0000}"/>
    <cellStyle name="Normal 8 5 2 3 3 2" xfId="14149" xr:uid="{D5DFE449-9464-427A-BD9B-449679811E84}"/>
    <cellStyle name="Normal 8 5 2 3 3 3" xfId="22596" xr:uid="{F090E285-6499-47A0-A10A-9BC5509F829E}"/>
    <cellStyle name="Normal 8 5 2 3 4" xfId="9931" xr:uid="{9CB39EEB-B8EE-4F3E-B873-8A28D37639C7}"/>
    <cellStyle name="Normal 8 5 2 3 5" xfId="18379" xr:uid="{AED49C8A-9286-43BA-A6A9-B8D348B3DEF3}"/>
    <cellStyle name="Normal 8 5 2 4" xfId="1805" xr:uid="{00000000-0005-0000-0000-0000291E0000}"/>
    <cellStyle name="Normal 8 5 2 4 2" xfId="4035" xr:uid="{00000000-0005-0000-0000-00002A1E0000}"/>
    <cellStyle name="Normal 8 5 2 4 2 2" xfId="8257" xr:uid="{00000000-0005-0000-0000-00002B1E0000}"/>
    <cellStyle name="Normal 8 5 2 4 2 2 2" xfId="16707" xr:uid="{D505F01F-DC2C-4D9D-A8EE-F5C92CA5213E}"/>
    <cellStyle name="Normal 8 5 2 4 2 2 3" xfId="25154" xr:uid="{26C0A24C-7D65-48CA-82B9-8A55E10E4FF5}"/>
    <cellStyle name="Normal 8 5 2 4 2 3" xfId="12489" xr:uid="{3F47562A-FD12-477C-97FE-D23F9324649F}"/>
    <cellStyle name="Normal 8 5 2 4 2 4" xfId="20937" xr:uid="{41373DB1-2CEA-4DCF-A01F-4BCFB9244433}"/>
    <cellStyle name="Normal 8 5 2 4 3" xfId="6112" xr:uid="{00000000-0005-0000-0000-00002C1E0000}"/>
    <cellStyle name="Normal 8 5 2 4 3 2" xfId="14562" xr:uid="{E25B5FB0-D94D-46AD-B90C-608C8031FB4C}"/>
    <cellStyle name="Normal 8 5 2 4 3 3" xfId="23009" xr:uid="{66164039-1DB2-4A88-9C32-7880DBFFB5D1}"/>
    <cellStyle name="Normal 8 5 2 4 4" xfId="10344" xr:uid="{4552A6DB-1D7C-4DC7-8079-73F12764C421}"/>
    <cellStyle name="Normal 8 5 2 4 5" xfId="18792" xr:uid="{EE47C706-920D-4A1F-8299-5075B29FD671}"/>
    <cellStyle name="Normal 8 5 2 5" xfId="2219" xr:uid="{00000000-0005-0000-0000-00002D1E0000}"/>
    <cellStyle name="Normal 8 5 2 5 2" xfId="4448" xr:uid="{00000000-0005-0000-0000-00002E1E0000}"/>
    <cellStyle name="Normal 8 5 2 5 2 2" xfId="8670" xr:uid="{00000000-0005-0000-0000-00002F1E0000}"/>
    <cellStyle name="Normal 8 5 2 5 2 2 2" xfId="17120" xr:uid="{41837D3D-4A29-49A4-A6CA-F3436D2124D0}"/>
    <cellStyle name="Normal 8 5 2 5 2 2 3" xfId="25567" xr:uid="{90BD44C9-8841-474E-BC82-D665D60D1857}"/>
    <cellStyle name="Normal 8 5 2 5 2 3" xfId="12902" xr:uid="{EB855038-73EA-431F-BE89-8F01FCA6CE91}"/>
    <cellStyle name="Normal 8 5 2 5 2 4" xfId="21350" xr:uid="{F1EA9111-14CB-458C-8B8A-77FEE747E07E}"/>
    <cellStyle name="Normal 8 5 2 5 3" xfId="6525" xr:uid="{00000000-0005-0000-0000-0000301E0000}"/>
    <cellStyle name="Normal 8 5 2 5 3 2" xfId="14975" xr:uid="{F6E406BF-F3AA-4598-AC81-19AA14BD6CA9}"/>
    <cellStyle name="Normal 8 5 2 5 3 3" xfId="23422" xr:uid="{16E12334-F223-4EA8-88B9-F6B103FF46F1}"/>
    <cellStyle name="Normal 8 5 2 5 4" xfId="10757" xr:uid="{3FE48B30-7156-4ADE-B5A8-9490A0E8890C}"/>
    <cellStyle name="Normal 8 5 2 5 5" xfId="19205" xr:uid="{F0980B88-B5F7-4283-A554-F6960BB5FD2F}"/>
    <cellStyle name="Normal 8 5 2 6" xfId="2655" xr:uid="{00000000-0005-0000-0000-0000311E0000}"/>
    <cellStyle name="Normal 8 5 2 6 2" xfId="6938" xr:uid="{00000000-0005-0000-0000-0000321E0000}"/>
    <cellStyle name="Normal 8 5 2 6 2 2" xfId="15388" xr:uid="{F26DC028-6074-4BFE-B532-D9E87FAC250B}"/>
    <cellStyle name="Normal 8 5 2 6 2 3" xfId="23835" xr:uid="{D4DDF842-DA1A-4BE8-A0F2-F1470E0205B7}"/>
    <cellStyle name="Normal 8 5 2 6 3" xfId="11170" xr:uid="{5B7AD33F-E45F-46D2-B2D7-4EF766DCC1CB}"/>
    <cellStyle name="Normal 8 5 2 6 4" xfId="19618" xr:uid="{CAA61D28-C3D8-4C90-8B3C-292D79BDC73B}"/>
    <cellStyle name="Normal 8 5 2 7" xfId="4873" xr:uid="{00000000-0005-0000-0000-0000331E0000}"/>
    <cellStyle name="Normal 8 5 2 7 2" xfId="13323" xr:uid="{A355D75C-6C6B-4D04-BEC8-2ADC8455FBCB}"/>
    <cellStyle name="Normal 8 5 2 7 3" xfId="21770" xr:uid="{71C69968-32D6-4B1A-8AAE-AA7554D83BA2}"/>
    <cellStyle name="Normal 8 5 2 8" xfId="9105" xr:uid="{224543B2-80F4-47A2-9A04-4DD6E8AC2839}"/>
    <cellStyle name="Normal 8 5 2 9" xfId="17553" xr:uid="{FDCCC41C-6CD8-4A35-8119-AB8F26DECB0E}"/>
    <cellStyle name="Normal 8 5 3" xfId="974" xr:uid="{00000000-0005-0000-0000-0000341E0000}"/>
    <cellStyle name="Normal 8 5 3 2" xfId="3208" xr:uid="{00000000-0005-0000-0000-0000351E0000}"/>
    <cellStyle name="Normal 8 5 3 2 2" xfId="7430" xr:uid="{00000000-0005-0000-0000-0000361E0000}"/>
    <cellStyle name="Normal 8 5 3 2 2 2" xfId="15880" xr:uid="{E8482CFE-C002-4595-AF70-0539F77CE68E}"/>
    <cellStyle name="Normal 8 5 3 2 2 3" xfId="24327" xr:uid="{B57E058E-3FC1-4A4F-826C-856390F6FC98}"/>
    <cellStyle name="Normal 8 5 3 2 3" xfId="11662" xr:uid="{938B583B-E168-4AAB-9C1F-60BC03D5F034}"/>
    <cellStyle name="Normal 8 5 3 2 4" xfId="20110" xr:uid="{FBE4562B-DA4B-4115-8355-77761B924C88}"/>
    <cellStyle name="Normal 8 5 3 3" xfId="5285" xr:uid="{00000000-0005-0000-0000-0000371E0000}"/>
    <cellStyle name="Normal 8 5 3 3 2" xfId="13735" xr:uid="{5BE191D6-11CA-4CB8-A64C-639A42D69673}"/>
    <cellStyle name="Normal 8 5 3 3 3" xfId="22182" xr:uid="{E0BE6A4C-4571-4163-AF95-24F4ED862882}"/>
    <cellStyle name="Normal 8 5 3 4" xfId="9517" xr:uid="{28F3BA9E-13A1-43A5-9A4E-708CB29F5319}"/>
    <cellStyle name="Normal 8 5 3 5" xfId="17965" xr:uid="{420D08B0-406A-4AE9-97C2-A20E5D5436B9}"/>
    <cellStyle name="Normal 8 5 4" xfId="1391" xr:uid="{00000000-0005-0000-0000-0000381E0000}"/>
    <cellStyle name="Normal 8 5 4 2" xfId="3621" xr:uid="{00000000-0005-0000-0000-0000391E0000}"/>
    <cellStyle name="Normal 8 5 4 2 2" xfId="7843" xr:uid="{00000000-0005-0000-0000-00003A1E0000}"/>
    <cellStyle name="Normal 8 5 4 2 2 2" xfId="16293" xr:uid="{ACB69820-B0A2-438F-97F5-537DDC173876}"/>
    <cellStyle name="Normal 8 5 4 2 2 3" xfId="24740" xr:uid="{2B91656D-A193-4817-8CD8-05D60961389A}"/>
    <cellStyle name="Normal 8 5 4 2 3" xfId="12075" xr:uid="{95898E31-0A6B-49B1-AAE5-6A52733FFAE1}"/>
    <cellStyle name="Normal 8 5 4 2 4" xfId="20523" xr:uid="{D00E6CDE-AFF7-4416-817D-8F5D0FDC141B}"/>
    <cellStyle name="Normal 8 5 4 3" xfId="5698" xr:uid="{00000000-0005-0000-0000-00003B1E0000}"/>
    <cellStyle name="Normal 8 5 4 3 2" xfId="14148" xr:uid="{EBEE267A-8AAD-4DBE-8FEF-62906D27ECE5}"/>
    <cellStyle name="Normal 8 5 4 3 3" xfId="22595" xr:uid="{4C3386D3-EB9C-499E-9347-65E56EBB9A04}"/>
    <cellStyle name="Normal 8 5 4 4" xfId="9930" xr:uid="{A9A2EDB6-CFED-44BF-ACF9-09CD8A372F66}"/>
    <cellStyle name="Normal 8 5 4 5" xfId="18378" xr:uid="{286A7777-6FA5-4483-A129-50DF7B2F156B}"/>
    <cellStyle name="Normal 8 5 5" xfId="1804" xr:uid="{00000000-0005-0000-0000-00003C1E0000}"/>
    <cellStyle name="Normal 8 5 5 2" xfId="4034" xr:uid="{00000000-0005-0000-0000-00003D1E0000}"/>
    <cellStyle name="Normal 8 5 5 2 2" xfId="8256" xr:uid="{00000000-0005-0000-0000-00003E1E0000}"/>
    <cellStyle name="Normal 8 5 5 2 2 2" xfId="16706" xr:uid="{9012CB14-6A69-421F-83B7-7E306847F08A}"/>
    <cellStyle name="Normal 8 5 5 2 2 3" xfId="25153" xr:uid="{611CBF54-C49A-473E-8F05-3F3E1D5F7AE5}"/>
    <cellStyle name="Normal 8 5 5 2 3" xfId="12488" xr:uid="{DC6961A2-C79D-4B17-A3B6-AEE746EE76A5}"/>
    <cellStyle name="Normal 8 5 5 2 4" xfId="20936" xr:uid="{7FD7EE78-AF55-4944-A12B-2F032F54D333}"/>
    <cellStyle name="Normal 8 5 5 3" xfId="6111" xr:uid="{00000000-0005-0000-0000-00003F1E0000}"/>
    <cellStyle name="Normal 8 5 5 3 2" xfId="14561" xr:uid="{D18CFFA5-8FA9-4807-B4B0-AEC10414630B}"/>
    <cellStyle name="Normal 8 5 5 3 3" xfId="23008" xr:uid="{6D18C65A-1450-4F12-BF32-FB9FF619FF5B}"/>
    <cellStyle name="Normal 8 5 5 4" xfId="10343" xr:uid="{CEADC26D-57D6-41E9-BF69-F805580C3387}"/>
    <cellStyle name="Normal 8 5 5 5" xfId="18791" xr:uid="{0A843BF2-C9DE-48FE-B8EB-0FF832D094FC}"/>
    <cellStyle name="Normal 8 5 6" xfId="2218" xr:uid="{00000000-0005-0000-0000-0000401E0000}"/>
    <cellStyle name="Normal 8 5 6 2" xfId="4447" xr:uid="{00000000-0005-0000-0000-0000411E0000}"/>
    <cellStyle name="Normal 8 5 6 2 2" xfId="8669" xr:uid="{00000000-0005-0000-0000-0000421E0000}"/>
    <cellStyle name="Normal 8 5 6 2 2 2" xfId="17119" xr:uid="{C828040E-1197-4120-BEF1-8A36485A54EB}"/>
    <cellStyle name="Normal 8 5 6 2 2 3" xfId="25566" xr:uid="{674F021A-65DD-48B9-A713-80919E3E05B2}"/>
    <cellStyle name="Normal 8 5 6 2 3" xfId="12901" xr:uid="{554A428F-9357-4444-9A32-45EA6F4E54E6}"/>
    <cellStyle name="Normal 8 5 6 2 4" xfId="21349" xr:uid="{6DDD0241-17EB-427E-9EAC-FF3767CA3DC4}"/>
    <cellStyle name="Normal 8 5 6 3" xfId="6524" xr:uid="{00000000-0005-0000-0000-0000431E0000}"/>
    <cellStyle name="Normal 8 5 6 3 2" xfId="14974" xr:uid="{165A26C0-E503-4165-8C20-65046BFD698F}"/>
    <cellStyle name="Normal 8 5 6 3 3" xfId="23421" xr:uid="{C88CF889-640C-4CE5-BA1C-1DF1C1B92793}"/>
    <cellStyle name="Normal 8 5 6 4" xfId="10756" xr:uid="{903D554A-2B69-4CA2-82AC-52A680C91965}"/>
    <cellStyle name="Normal 8 5 6 5" xfId="19204" xr:uid="{DB2477C3-E8AD-4AE7-A4F1-23C322A24FBE}"/>
    <cellStyle name="Normal 8 5 7" xfId="2654" xr:uid="{00000000-0005-0000-0000-0000441E0000}"/>
    <cellStyle name="Normal 8 5 7 2" xfId="6937" xr:uid="{00000000-0005-0000-0000-0000451E0000}"/>
    <cellStyle name="Normal 8 5 7 2 2" xfId="15387" xr:uid="{BDB5D691-FAD7-4B02-8472-2F8C5B0958F9}"/>
    <cellStyle name="Normal 8 5 7 2 3" xfId="23834" xr:uid="{4F8E01DA-BE49-4E93-B9EB-1FD203860601}"/>
    <cellStyle name="Normal 8 5 7 3" xfId="11169" xr:uid="{4752740A-94F5-4BD8-982F-8681431E9F84}"/>
    <cellStyle name="Normal 8 5 7 4" xfId="19617" xr:uid="{38060941-774F-44C6-AAE0-3E732110F40D}"/>
    <cellStyle name="Normal 8 5 8" xfId="4872" xr:uid="{00000000-0005-0000-0000-0000461E0000}"/>
    <cellStyle name="Normal 8 5 8 2" xfId="13322" xr:uid="{14DF732A-32BB-4823-9E01-81390FD47B3E}"/>
    <cellStyle name="Normal 8 5 8 3" xfId="21769" xr:uid="{411B6C02-60BE-4BAF-9EB8-AA866ED8FFCF}"/>
    <cellStyle name="Normal 8 5 9" xfId="9104" xr:uid="{EC461C65-4E9B-485B-8E39-3AF1185D5B8A}"/>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2 2 2" xfId="15882" xr:uid="{FF412174-A228-4C3A-AA32-6C2073922813}"/>
    <cellStyle name="Normal 8 6 2 2 2 3" xfId="24329" xr:uid="{146EBE5D-23E7-4537-BF43-D9568A9ECB74}"/>
    <cellStyle name="Normal 8 6 2 2 3" xfId="11664" xr:uid="{91DD1A66-9B50-45D8-BD02-5DB9198E067C}"/>
    <cellStyle name="Normal 8 6 2 2 4" xfId="20112" xr:uid="{1B85D27C-E092-461F-B846-36423CEB6359}"/>
    <cellStyle name="Normal 8 6 2 3" xfId="5287" xr:uid="{00000000-0005-0000-0000-00004B1E0000}"/>
    <cellStyle name="Normal 8 6 2 3 2" xfId="13737" xr:uid="{5726F0F2-EF8C-4D72-A199-48352B19AC5D}"/>
    <cellStyle name="Normal 8 6 2 3 3" xfId="22184" xr:uid="{A9148258-60FC-42F5-BE03-76F25B1947BE}"/>
    <cellStyle name="Normal 8 6 2 4" xfId="9519" xr:uid="{FA883E5F-3875-4AB2-AD96-CAB8E16DDFC4}"/>
    <cellStyle name="Normal 8 6 2 5" xfId="17967" xr:uid="{CEFA4D37-D350-4D6D-B498-45EB2E282757}"/>
    <cellStyle name="Normal 8 6 3" xfId="1393" xr:uid="{00000000-0005-0000-0000-00004C1E0000}"/>
    <cellStyle name="Normal 8 6 3 2" xfId="3623" xr:uid="{00000000-0005-0000-0000-00004D1E0000}"/>
    <cellStyle name="Normal 8 6 3 2 2" xfId="7845" xr:uid="{00000000-0005-0000-0000-00004E1E0000}"/>
    <cellStyle name="Normal 8 6 3 2 2 2" xfId="16295" xr:uid="{766515E6-F00F-41A1-AFBB-FD3C10793AAC}"/>
    <cellStyle name="Normal 8 6 3 2 2 3" xfId="24742" xr:uid="{09655E6D-4F81-42D3-BDF3-589786E6F5F4}"/>
    <cellStyle name="Normal 8 6 3 2 3" xfId="12077" xr:uid="{DE858192-5D17-4454-8B0A-6685D2AA31B4}"/>
    <cellStyle name="Normal 8 6 3 2 4" xfId="20525" xr:uid="{F99311CD-7D8C-415B-B60D-4DDAB17A5674}"/>
    <cellStyle name="Normal 8 6 3 3" xfId="5700" xr:uid="{00000000-0005-0000-0000-00004F1E0000}"/>
    <cellStyle name="Normal 8 6 3 3 2" xfId="14150" xr:uid="{BD04FD3F-69EE-48C8-8A3D-AF214258CED7}"/>
    <cellStyle name="Normal 8 6 3 3 3" xfId="22597" xr:uid="{00C91C5B-848F-4B9A-B62E-6B1CF658B3A8}"/>
    <cellStyle name="Normal 8 6 3 4" xfId="9932" xr:uid="{EEDFA0B2-7870-4102-9E98-29192F9F266A}"/>
    <cellStyle name="Normal 8 6 3 5" xfId="18380" xr:uid="{8E345ABE-4FB6-4E1A-8427-A775816F797E}"/>
    <cellStyle name="Normal 8 6 4" xfId="1806" xr:uid="{00000000-0005-0000-0000-0000501E0000}"/>
    <cellStyle name="Normal 8 6 4 2" xfId="4036" xr:uid="{00000000-0005-0000-0000-0000511E0000}"/>
    <cellStyle name="Normal 8 6 4 2 2" xfId="8258" xr:uid="{00000000-0005-0000-0000-0000521E0000}"/>
    <cellStyle name="Normal 8 6 4 2 2 2" xfId="16708" xr:uid="{88626674-64FB-4003-8D17-D90A9C6BE76B}"/>
    <cellStyle name="Normal 8 6 4 2 2 3" xfId="25155" xr:uid="{AEC2C725-D074-4DB8-A4B6-6E0365B9A2EF}"/>
    <cellStyle name="Normal 8 6 4 2 3" xfId="12490" xr:uid="{F23632C4-2400-460D-A266-9BF6E981FDEC}"/>
    <cellStyle name="Normal 8 6 4 2 4" xfId="20938" xr:uid="{4DBDC24B-9E75-4008-81C7-A628DB26767D}"/>
    <cellStyle name="Normal 8 6 4 3" xfId="6113" xr:uid="{00000000-0005-0000-0000-0000531E0000}"/>
    <cellStyle name="Normal 8 6 4 3 2" xfId="14563" xr:uid="{62B3ECAF-2B20-4565-87F0-B86DC509EBCD}"/>
    <cellStyle name="Normal 8 6 4 3 3" xfId="23010" xr:uid="{01AF7D7B-DCE0-469C-9528-18D6908A7C4E}"/>
    <cellStyle name="Normal 8 6 4 4" xfId="10345" xr:uid="{3A8E6DC7-06AE-4026-989B-FE3C7A4AB98B}"/>
    <cellStyle name="Normal 8 6 4 5" xfId="18793" xr:uid="{4D03BD34-A969-4341-A9C0-CFA2AEF40E64}"/>
    <cellStyle name="Normal 8 6 5" xfId="2220" xr:uid="{00000000-0005-0000-0000-0000541E0000}"/>
    <cellStyle name="Normal 8 6 5 2" xfId="4449" xr:uid="{00000000-0005-0000-0000-0000551E0000}"/>
    <cellStyle name="Normal 8 6 5 2 2" xfId="8671" xr:uid="{00000000-0005-0000-0000-0000561E0000}"/>
    <cellStyle name="Normal 8 6 5 2 2 2" xfId="17121" xr:uid="{0211DF4E-7023-498B-A774-BCA3C4F7D76C}"/>
    <cellStyle name="Normal 8 6 5 2 2 3" xfId="25568" xr:uid="{C921D3A0-E4E8-4378-BEDB-304FB4D237A0}"/>
    <cellStyle name="Normal 8 6 5 2 3" xfId="12903" xr:uid="{AE3609ED-A54E-4308-9240-AC024E5D9434}"/>
    <cellStyle name="Normal 8 6 5 2 4" xfId="21351" xr:uid="{8845EE17-D85C-4958-9E9B-5BB3214216CE}"/>
    <cellStyle name="Normal 8 6 5 3" xfId="6526" xr:uid="{00000000-0005-0000-0000-0000571E0000}"/>
    <cellStyle name="Normal 8 6 5 3 2" xfId="14976" xr:uid="{EA688455-F4D2-4929-A5D2-99F368AE9C3F}"/>
    <cellStyle name="Normal 8 6 5 3 3" xfId="23423" xr:uid="{BA6E9872-68FB-47ED-A9F4-1FDA52B367F0}"/>
    <cellStyle name="Normal 8 6 5 4" xfId="10758" xr:uid="{7341AE73-18DB-4F31-B2B6-4A824334D26B}"/>
    <cellStyle name="Normal 8 6 5 5" xfId="19206" xr:uid="{6B2218C6-F3BF-4E88-B58A-2788EB44BCF0}"/>
    <cellStyle name="Normal 8 6 6" xfId="2656" xr:uid="{00000000-0005-0000-0000-0000581E0000}"/>
    <cellStyle name="Normal 8 6 6 2" xfId="6939" xr:uid="{00000000-0005-0000-0000-0000591E0000}"/>
    <cellStyle name="Normal 8 6 6 2 2" xfId="15389" xr:uid="{BCF10C61-B9C4-47F6-A4F0-2767F2AEF44C}"/>
    <cellStyle name="Normal 8 6 6 2 3" xfId="23836" xr:uid="{138B3E33-3032-4CE8-B3CC-E5971CE36136}"/>
    <cellStyle name="Normal 8 6 6 3" xfId="11171" xr:uid="{6DE747BD-8C40-41F5-92E8-28304B1098EC}"/>
    <cellStyle name="Normal 8 6 6 4" xfId="19619" xr:uid="{A2E527D8-8AA3-416D-AF16-2A0171F5FEC0}"/>
    <cellStyle name="Normal 8 6 7" xfId="4874" xr:uid="{00000000-0005-0000-0000-00005A1E0000}"/>
    <cellStyle name="Normal 8 6 7 2" xfId="13324" xr:uid="{A00C7F64-4CB6-49A8-B655-937BE5B95B57}"/>
    <cellStyle name="Normal 8 6 7 3" xfId="21771" xr:uid="{5D3B7092-3D00-4205-94B5-03D6B6407D35}"/>
    <cellStyle name="Normal 8 6 8" xfId="9106" xr:uid="{5164D42E-72CE-4B35-BF52-877F38400231}"/>
    <cellStyle name="Normal 8 6 9" xfId="17554" xr:uid="{A545F74D-7E78-4D16-87D7-AEC57242B9B9}"/>
    <cellStyle name="Normal 8 7" xfId="945" xr:uid="{00000000-0005-0000-0000-00005B1E0000}"/>
    <cellStyle name="Normal 8 7 2" xfId="3179" xr:uid="{00000000-0005-0000-0000-00005C1E0000}"/>
    <cellStyle name="Normal 8 7 2 2" xfId="7401" xr:uid="{00000000-0005-0000-0000-00005D1E0000}"/>
    <cellStyle name="Normal 8 7 2 2 2" xfId="15851" xr:uid="{D4363EFC-68D3-417F-9B82-5F3A5ACF062A}"/>
    <cellStyle name="Normal 8 7 2 2 3" xfId="24298" xr:uid="{43B00109-FC95-4F79-9BC3-3E57A3F4C513}"/>
    <cellStyle name="Normal 8 7 2 3" xfId="11633" xr:uid="{46F443CA-3DF7-4E8B-BEFD-0E1A2E0F470B}"/>
    <cellStyle name="Normal 8 7 2 4" xfId="20081" xr:uid="{397F306C-2A9B-41A7-925C-730FCD6A43A7}"/>
    <cellStyle name="Normal 8 7 3" xfId="5256" xr:uid="{00000000-0005-0000-0000-00005E1E0000}"/>
    <cellStyle name="Normal 8 7 3 2" xfId="13706" xr:uid="{2C5A4D44-ED2D-4B8C-9A77-EB4E5C40B009}"/>
    <cellStyle name="Normal 8 7 3 3" xfId="22153" xr:uid="{8F843EB3-0BD3-43D2-8590-51282727E0E6}"/>
    <cellStyle name="Normal 8 7 4" xfId="9488" xr:uid="{63AB6636-3E0D-4197-9310-4E9378D076F4}"/>
    <cellStyle name="Normal 8 7 5" xfId="17936" xr:uid="{94815A0E-1136-431F-8F2C-10C3C78345AC}"/>
    <cellStyle name="Normal 8 8" xfId="1362" xr:uid="{00000000-0005-0000-0000-00005F1E0000}"/>
    <cellStyle name="Normal 8 8 2" xfId="3592" xr:uid="{00000000-0005-0000-0000-0000601E0000}"/>
    <cellStyle name="Normal 8 8 2 2" xfId="7814" xr:uid="{00000000-0005-0000-0000-0000611E0000}"/>
    <cellStyle name="Normal 8 8 2 2 2" xfId="16264" xr:uid="{4BF1EEB4-AE62-4023-A39A-AA3D781B7BAC}"/>
    <cellStyle name="Normal 8 8 2 2 3" xfId="24711" xr:uid="{2B62E8C2-B0EC-4634-953C-75C33901C2AD}"/>
    <cellStyle name="Normal 8 8 2 3" xfId="12046" xr:uid="{70B16BEF-C469-49A6-A0C6-A8EDA3B196BD}"/>
    <cellStyle name="Normal 8 8 2 4" xfId="20494" xr:uid="{54F8EB54-05BE-4593-A731-5D2671D82A62}"/>
    <cellStyle name="Normal 8 8 3" xfId="5669" xr:uid="{00000000-0005-0000-0000-0000621E0000}"/>
    <cellStyle name="Normal 8 8 3 2" xfId="14119" xr:uid="{2FB1A8C3-74E0-498A-BCBC-1A78B361DC65}"/>
    <cellStyle name="Normal 8 8 3 3" xfId="22566" xr:uid="{FCAE8212-8131-4E7E-B6A3-9EF75CA296FF}"/>
    <cellStyle name="Normal 8 8 4" xfId="9901" xr:uid="{94BDE26C-AC3F-44CE-B282-52EF9EBDF1F3}"/>
    <cellStyle name="Normal 8 8 5" xfId="18349" xr:uid="{60BD13A0-A088-4BD2-BE4B-0C54B78AD8A7}"/>
    <cellStyle name="Normal 8 9" xfId="1775" xr:uid="{00000000-0005-0000-0000-0000631E0000}"/>
    <cellStyle name="Normal 8 9 2" xfId="4005" xr:uid="{00000000-0005-0000-0000-0000641E0000}"/>
    <cellStyle name="Normal 8 9 2 2" xfId="8227" xr:uid="{00000000-0005-0000-0000-0000651E0000}"/>
    <cellStyle name="Normal 8 9 2 2 2" xfId="16677" xr:uid="{7D9CD5F5-257A-4ABF-836C-C6DA5582B7DD}"/>
    <cellStyle name="Normal 8 9 2 2 3" xfId="25124" xr:uid="{423F13A7-BF81-4CA6-AABF-10D6323B5D57}"/>
    <cellStyle name="Normal 8 9 2 3" xfId="12459" xr:uid="{7C8DACBC-FEA1-4B33-9062-60E4289005E3}"/>
    <cellStyle name="Normal 8 9 2 4" xfId="20907" xr:uid="{EB175887-CF3C-4049-BCC3-77FE985684CB}"/>
    <cellStyle name="Normal 8 9 3" xfId="6082" xr:uid="{00000000-0005-0000-0000-0000661E0000}"/>
    <cellStyle name="Normal 8 9 3 2" xfId="14532" xr:uid="{F48269B4-EE35-4C25-8BDC-F5B1FFC0F719}"/>
    <cellStyle name="Normal 8 9 3 3" xfId="22979" xr:uid="{B7AC8B58-5350-4A09-BB53-7F3BF9C14730}"/>
    <cellStyle name="Normal 8 9 4" xfId="10314" xr:uid="{9FAF5613-4FAB-4D55-B717-723FFFA73A1F}"/>
    <cellStyle name="Normal 8 9 5" xfId="18762" xr:uid="{18D09099-CE65-4444-8E98-1D3888B12BAF}"/>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0 2 2" xfId="15390" xr:uid="{C66A677F-86A6-4E02-AB5C-9F52D9775093}"/>
    <cellStyle name="Normal 9 2 10 2 3" xfId="23837" xr:uid="{75066AD2-BEB8-4868-B41E-F0AFE77911F8}"/>
    <cellStyle name="Normal 9 2 10 3" xfId="11172" xr:uid="{1F6EFA51-F6F6-4348-B1D6-CCFD666CFE71}"/>
    <cellStyle name="Normal 9 2 10 4" xfId="19620" xr:uid="{F81DC816-527D-412C-B2FF-A94AB61A934D}"/>
    <cellStyle name="Normal 9 2 11" xfId="4875" xr:uid="{00000000-0005-0000-0000-00006B1E0000}"/>
    <cellStyle name="Normal 9 2 11 2" xfId="13325" xr:uid="{B1C1CCA7-18B5-4289-8245-8C0694CE1E68}"/>
    <cellStyle name="Normal 9 2 11 3" xfId="21772" xr:uid="{856F4CB1-D0AC-47E3-8EA3-5374B2228946}"/>
    <cellStyle name="Normal 9 2 12" xfId="9107" xr:uid="{D22D04B6-CCAC-4FAE-B2AD-FFC11FBA12D1}"/>
    <cellStyle name="Normal 9 2 13" xfId="17555" xr:uid="{7D24D0BF-A5B1-457D-B7C6-7724FCE86AF5}"/>
    <cellStyle name="Normal 9 2 2" xfId="512" xr:uid="{00000000-0005-0000-0000-00006C1E0000}"/>
    <cellStyle name="Normal 9 2 2 10" xfId="4876" xr:uid="{00000000-0005-0000-0000-00006D1E0000}"/>
    <cellStyle name="Normal 9 2 2 10 2" xfId="13326" xr:uid="{4BCC0731-033D-4506-808B-23E490E439CA}"/>
    <cellStyle name="Normal 9 2 2 10 3" xfId="21773" xr:uid="{22D0B5F7-02ED-420D-86D6-1B4DEFF25F87}"/>
    <cellStyle name="Normal 9 2 2 11" xfId="9108" xr:uid="{7DAB6E4C-3E0D-4986-B079-44225DB13FE6}"/>
    <cellStyle name="Normal 9 2 2 12" xfId="17556" xr:uid="{E00378A5-311F-4F9A-B638-FE59CA6F560F}"/>
    <cellStyle name="Normal 9 2 2 2" xfId="513" xr:uid="{00000000-0005-0000-0000-00006E1E0000}"/>
    <cellStyle name="Normal 9 2 2 2 10" xfId="9109" xr:uid="{A47DD8EB-278D-4C24-9D95-DA4B46D0AE08}"/>
    <cellStyle name="Normal 9 2 2 2 11" xfId="17557" xr:uid="{FEBB1A77-8A16-4A83-A3AB-F121627433D9}"/>
    <cellStyle name="Normal 9 2 2 2 2" xfId="514" xr:uid="{00000000-0005-0000-0000-00006F1E0000}"/>
    <cellStyle name="Normal 9 2 2 2 2 10" xfId="17558" xr:uid="{8F02EED7-1055-4665-97E6-24BACBEC1F58}"/>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2 2 2" xfId="15887" xr:uid="{496A242B-83DF-46AF-825D-B065DCA10BB4}"/>
    <cellStyle name="Normal 9 2 2 2 2 2 2 2 2 3" xfId="24334" xr:uid="{66811510-BF84-432F-9AD5-B266AF20CB54}"/>
    <cellStyle name="Normal 9 2 2 2 2 2 2 2 3" xfId="11669" xr:uid="{BECD3282-0E1A-4A2F-AEE3-71A249A813CE}"/>
    <cellStyle name="Normal 9 2 2 2 2 2 2 2 4" xfId="20117" xr:uid="{C65063BE-C2AC-4B82-B201-AD5CA84FFAA0}"/>
    <cellStyle name="Normal 9 2 2 2 2 2 2 3" xfId="5292" xr:uid="{00000000-0005-0000-0000-0000741E0000}"/>
    <cellStyle name="Normal 9 2 2 2 2 2 2 3 2" xfId="13742" xr:uid="{C49D074E-58BA-490D-80D1-25123E5EFA6E}"/>
    <cellStyle name="Normal 9 2 2 2 2 2 2 3 3" xfId="22189" xr:uid="{D52C3938-A67B-410B-AC8D-70D878EDFAA1}"/>
    <cellStyle name="Normal 9 2 2 2 2 2 2 4" xfId="9524" xr:uid="{A0591701-CA82-4680-8236-9BF18EAC2492}"/>
    <cellStyle name="Normal 9 2 2 2 2 2 2 5" xfId="17972" xr:uid="{32A08916-D9BB-43F0-8854-6F15DAFFC371}"/>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2 2 2" xfId="16300" xr:uid="{E923BC98-671F-4D30-BF33-C6795E6A5D1E}"/>
    <cellStyle name="Normal 9 2 2 2 2 2 3 2 2 3" xfId="24747" xr:uid="{DFCEC59D-EDFB-4E71-9E4B-F72D73B1F318}"/>
    <cellStyle name="Normal 9 2 2 2 2 2 3 2 3" xfId="12082" xr:uid="{E5C946F0-873C-4335-A89B-DE6DC8EF2258}"/>
    <cellStyle name="Normal 9 2 2 2 2 2 3 2 4" xfId="20530" xr:uid="{00DD3B9B-E004-435E-BCCB-18695A5BC740}"/>
    <cellStyle name="Normal 9 2 2 2 2 2 3 3" xfId="5705" xr:uid="{00000000-0005-0000-0000-0000781E0000}"/>
    <cellStyle name="Normal 9 2 2 2 2 2 3 3 2" xfId="14155" xr:uid="{86032291-4946-4819-AF22-F56EF16B141B}"/>
    <cellStyle name="Normal 9 2 2 2 2 2 3 3 3" xfId="22602" xr:uid="{8071E8DC-6EAD-4B16-AD50-E64BF8D1DA66}"/>
    <cellStyle name="Normal 9 2 2 2 2 2 3 4" xfId="9937" xr:uid="{D5831973-E16A-4E23-BB15-7013852F04A5}"/>
    <cellStyle name="Normal 9 2 2 2 2 2 3 5" xfId="18385" xr:uid="{45546FF8-340C-4AAE-B4CF-D4845B49DDF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2 2 2" xfId="16713" xr:uid="{BC2E1B60-D202-4D43-ADF5-30B153220CD7}"/>
    <cellStyle name="Normal 9 2 2 2 2 2 4 2 2 3" xfId="25160" xr:uid="{51214281-E4CC-49CD-90D1-8769E4F12B84}"/>
    <cellStyle name="Normal 9 2 2 2 2 2 4 2 3" xfId="12495" xr:uid="{5C6F980C-D472-4090-BFAB-1CFC94F4B4A7}"/>
    <cellStyle name="Normal 9 2 2 2 2 2 4 2 4" xfId="20943" xr:uid="{23F7EFA0-1FB4-4549-AD25-1218C775DD28}"/>
    <cellStyle name="Normal 9 2 2 2 2 2 4 3" xfId="6118" xr:uid="{00000000-0005-0000-0000-00007C1E0000}"/>
    <cellStyle name="Normal 9 2 2 2 2 2 4 3 2" xfId="14568" xr:uid="{0CB787D3-3039-45F7-835C-50B137278F97}"/>
    <cellStyle name="Normal 9 2 2 2 2 2 4 3 3" xfId="23015" xr:uid="{8DA23CF9-A7C0-4D54-A4DC-AF2D9DBBA230}"/>
    <cellStyle name="Normal 9 2 2 2 2 2 4 4" xfId="10350" xr:uid="{24E1DC06-312F-48D3-81FD-5580F886FF7E}"/>
    <cellStyle name="Normal 9 2 2 2 2 2 4 5" xfId="18798" xr:uid="{66ED7457-9878-465D-B801-C370FC59BC55}"/>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2 2 2" xfId="17126" xr:uid="{95A8ACE6-2D89-4E06-B151-ED4B4A94F7DC}"/>
    <cellStyle name="Normal 9 2 2 2 2 2 5 2 2 3" xfId="25573" xr:uid="{CF49DF08-A2F3-4575-8E9D-00141D012A3F}"/>
    <cellStyle name="Normal 9 2 2 2 2 2 5 2 3" xfId="12908" xr:uid="{54C01C9C-FB48-4B4F-988C-C4A319DA05C7}"/>
    <cellStyle name="Normal 9 2 2 2 2 2 5 2 4" xfId="21356" xr:uid="{3325C4BA-6FB9-443B-98F4-8FC05D9520E4}"/>
    <cellStyle name="Normal 9 2 2 2 2 2 5 3" xfId="6531" xr:uid="{00000000-0005-0000-0000-0000801E0000}"/>
    <cellStyle name="Normal 9 2 2 2 2 2 5 3 2" xfId="14981" xr:uid="{EDC159C2-DB29-4DA1-B46D-F039B9C412BE}"/>
    <cellStyle name="Normal 9 2 2 2 2 2 5 3 3" xfId="23428" xr:uid="{A79D8DE0-1229-4E43-A378-978A1A6C7D3F}"/>
    <cellStyle name="Normal 9 2 2 2 2 2 5 4" xfId="10763" xr:uid="{A7C93E62-2633-4822-B90D-8B39CF531C6A}"/>
    <cellStyle name="Normal 9 2 2 2 2 2 5 5" xfId="19211" xr:uid="{3F1E0DAD-1FEB-4ED2-9EEB-80FE71E7331B}"/>
    <cellStyle name="Normal 9 2 2 2 2 2 6" xfId="2661" xr:uid="{00000000-0005-0000-0000-0000811E0000}"/>
    <cellStyle name="Normal 9 2 2 2 2 2 6 2" xfId="6944" xr:uid="{00000000-0005-0000-0000-0000821E0000}"/>
    <cellStyle name="Normal 9 2 2 2 2 2 6 2 2" xfId="15394" xr:uid="{F977394B-A1F1-4E81-B436-B037C2C3E89B}"/>
    <cellStyle name="Normal 9 2 2 2 2 2 6 2 3" xfId="23841" xr:uid="{3FC2D9E5-EB1D-411F-A8C7-C93D4D707A76}"/>
    <cellStyle name="Normal 9 2 2 2 2 2 6 3" xfId="11176" xr:uid="{22512FB5-28FF-4B44-B7C7-65325DECA01E}"/>
    <cellStyle name="Normal 9 2 2 2 2 2 6 4" xfId="19624" xr:uid="{46EF018B-0928-4490-86C9-96CD21518E8B}"/>
    <cellStyle name="Normal 9 2 2 2 2 2 7" xfId="4879" xr:uid="{00000000-0005-0000-0000-0000831E0000}"/>
    <cellStyle name="Normal 9 2 2 2 2 2 7 2" xfId="13329" xr:uid="{E7B59252-BFF2-4A9D-9C91-F622B7376B50}"/>
    <cellStyle name="Normal 9 2 2 2 2 2 7 3" xfId="21776" xr:uid="{D7DF07F1-4961-43B3-B1EF-B4BEDF2FB784}"/>
    <cellStyle name="Normal 9 2 2 2 2 2 8" xfId="9111" xr:uid="{0C048B50-0351-451E-80CA-DB1E7C59906F}"/>
    <cellStyle name="Normal 9 2 2 2 2 2 9" xfId="17559" xr:uid="{77C86528-1B34-45F3-A591-B412F5A497AE}"/>
    <cellStyle name="Normal 9 2 2 2 2 3" xfId="981" xr:uid="{00000000-0005-0000-0000-0000841E0000}"/>
    <cellStyle name="Normal 9 2 2 2 2 3 2" xfId="3214" xr:uid="{00000000-0005-0000-0000-0000851E0000}"/>
    <cellStyle name="Normal 9 2 2 2 2 3 2 2" xfId="7436" xr:uid="{00000000-0005-0000-0000-0000861E0000}"/>
    <cellStyle name="Normal 9 2 2 2 2 3 2 2 2" xfId="15886" xr:uid="{F4BE9657-02A1-4A9E-B032-FF9684AEF60B}"/>
    <cellStyle name="Normal 9 2 2 2 2 3 2 2 3" xfId="24333" xr:uid="{42229452-1D8A-481F-84CA-88BA514C2777}"/>
    <cellStyle name="Normal 9 2 2 2 2 3 2 3" xfId="11668" xr:uid="{1956FCFC-C04E-4E34-BD18-90DE7AF8E3B9}"/>
    <cellStyle name="Normal 9 2 2 2 2 3 2 4" xfId="20116" xr:uid="{4406E98C-644A-4E21-B67A-9ED077DB3A55}"/>
    <cellStyle name="Normal 9 2 2 2 2 3 3" xfId="5291" xr:uid="{00000000-0005-0000-0000-0000871E0000}"/>
    <cellStyle name="Normal 9 2 2 2 2 3 3 2" xfId="13741" xr:uid="{5EB20B4B-36C7-4E6B-9FCE-3F3B1EE53549}"/>
    <cellStyle name="Normal 9 2 2 2 2 3 3 3" xfId="22188" xr:uid="{4FB9881A-679D-4D25-8957-45D208C5E5D8}"/>
    <cellStyle name="Normal 9 2 2 2 2 3 4" xfId="9523" xr:uid="{AF506E0D-FF51-4F4F-9A82-FEFF021BB07D}"/>
    <cellStyle name="Normal 9 2 2 2 2 3 5" xfId="17971" xr:uid="{F6B5FA99-D912-44F9-8969-4DC6125DAC6B}"/>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2 2 2" xfId="16299" xr:uid="{9614B322-261A-4AF3-B0D1-1FE8390F73B2}"/>
    <cellStyle name="Normal 9 2 2 2 2 4 2 2 3" xfId="24746" xr:uid="{AB98740F-FF32-46CF-9E6B-67D0311EBCA4}"/>
    <cellStyle name="Normal 9 2 2 2 2 4 2 3" xfId="12081" xr:uid="{B550C06C-8AD1-4F9D-B493-AC6339F15282}"/>
    <cellStyle name="Normal 9 2 2 2 2 4 2 4" xfId="20529" xr:uid="{F94FC02B-9E0A-49DD-8C45-E879B4D7D263}"/>
    <cellStyle name="Normal 9 2 2 2 2 4 3" xfId="5704" xr:uid="{00000000-0005-0000-0000-00008B1E0000}"/>
    <cellStyle name="Normal 9 2 2 2 2 4 3 2" xfId="14154" xr:uid="{7C49370B-6F5B-44C8-863A-52004A039F99}"/>
    <cellStyle name="Normal 9 2 2 2 2 4 3 3" xfId="22601" xr:uid="{483F6138-3769-41D0-995F-D72F40B857A7}"/>
    <cellStyle name="Normal 9 2 2 2 2 4 4" xfId="9936" xr:uid="{1DB2EB6B-1F5F-4CB1-A21A-04A7534639FF}"/>
    <cellStyle name="Normal 9 2 2 2 2 4 5" xfId="18384" xr:uid="{217C1248-1414-4A89-9296-30CBC545422A}"/>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2 2 2" xfId="16712" xr:uid="{6870DA50-B42B-430B-868E-27F9E2C4CFEB}"/>
    <cellStyle name="Normal 9 2 2 2 2 5 2 2 3" xfId="25159" xr:uid="{6A43056D-0223-4FCA-928A-FC8D5D193D64}"/>
    <cellStyle name="Normal 9 2 2 2 2 5 2 3" xfId="12494" xr:uid="{4FA8C6A3-F5C6-400C-A310-A9899FB39282}"/>
    <cellStyle name="Normal 9 2 2 2 2 5 2 4" xfId="20942" xr:uid="{E129A7C4-3D94-4926-944C-F7220F496492}"/>
    <cellStyle name="Normal 9 2 2 2 2 5 3" xfId="6117" xr:uid="{00000000-0005-0000-0000-00008F1E0000}"/>
    <cellStyle name="Normal 9 2 2 2 2 5 3 2" xfId="14567" xr:uid="{BE2907FE-C8E6-42E2-AEC4-B069C9E3CA01}"/>
    <cellStyle name="Normal 9 2 2 2 2 5 3 3" xfId="23014" xr:uid="{0B24F776-99B7-4EDE-8198-E4EA5B610D9C}"/>
    <cellStyle name="Normal 9 2 2 2 2 5 4" xfId="10349" xr:uid="{9C55B1B3-D426-48B9-AFE0-538CB70B1C9B}"/>
    <cellStyle name="Normal 9 2 2 2 2 5 5" xfId="18797" xr:uid="{8E041E3F-BCF0-482A-8A5E-973C423A32B4}"/>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2 2 2" xfId="17125" xr:uid="{C084C735-AB44-4943-B67C-E087B5EB34A9}"/>
    <cellStyle name="Normal 9 2 2 2 2 6 2 2 3" xfId="25572" xr:uid="{EBD770FF-25D7-4569-95F5-0D1E193B1F60}"/>
    <cellStyle name="Normal 9 2 2 2 2 6 2 3" xfId="12907" xr:uid="{D897B92D-4C2D-427B-9B1A-DB161648A5F4}"/>
    <cellStyle name="Normal 9 2 2 2 2 6 2 4" xfId="21355" xr:uid="{DE9F118A-6567-45B9-97F1-D4F78149426B}"/>
    <cellStyle name="Normal 9 2 2 2 2 6 3" xfId="6530" xr:uid="{00000000-0005-0000-0000-0000931E0000}"/>
    <cellStyle name="Normal 9 2 2 2 2 6 3 2" xfId="14980" xr:uid="{A5F4FFFE-F0AE-4F65-ACF4-CF29DF43490B}"/>
    <cellStyle name="Normal 9 2 2 2 2 6 3 3" xfId="23427" xr:uid="{A5D7CC04-4B76-4EFC-8DB6-D6098F9F4EDD}"/>
    <cellStyle name="Normal 9 2 2 2 2 6 4" xfId="10762" xr:uid="{22B06788-F33C-4154-BDBC-4B8AB7967BB4}"/>
    <cellStyle name="Normal 9 2 2 2 2 6 5" xfId="19210" xr:uid="{4FAE998F-31B4-4D2C-B51D-B3D1BD3F3601}"/>
    <cellStyle name="Normal 9 2 2 2 2 7" xfId="2660" xr:uid="{00000000-0005-0000-0000-0000941E0000}"/>
    <cellStyle name="Normal 9 2 2 2 2 7 2" xfId="6943" xr:uid="{00000000-0005-0000-0000-0000951E0000}"/>
    <cellStyle name="Normal 9 2 2 2 2 7 2 2" xfId="15393" xr:uid="{FF8FF2A9-8F39-4CBC-AEEF-E292CA34AAE3}"/>
    <cellStyle name="Normal 9 2 2 2 2 7 2 3" xfId="23840" xr:uid="{D65E07B9-9D70-4784-8680-59504B488B8A}"/>
    <cellStyle name="Normal 9 2 2 2 2 7 3" xfId="11175" xr:uid="{0561FA08-A28F-4A3B-9EA3-E71B0008972C}"/>
    <cellStyle name="Normal 9 2 2 2 2 7 4" xfId="19623" xr:uid="{3A3F245C-47EC-43E3-A5EA-D7D2699C0CFD}"/>
    <cellStyle name="Normal 9 2 2 2 2 8" xfId="4878" xr:uid="{00000000-0005-0000-0000-0000961E0000}"/>
    <cellStyle name="Normal 9 2 2 2 2 8 2" xfId="13328" xr:uid="{B363A539-D6D8-40C9-9D06-06F7840E8DF2}"/>
    <cellStyle name="Normal 9 2 2 2 2 8 3" xfId="21775" xr:uid="{5DF5783C-DB7E-437E-9F14-7E9795D37749}"/>
    <cellStyle name="Normal 9 2 2 2 2 9" xfId="9110" xr:uid="{C3FA0CAC-3983-48B2-8E53-4D60B4F630A3}"/>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2 2 2" xfId="15888" xr:uid="{93ADB77B-DED0-4879-B1C7-E7B1D9DFFCB2}"/>
    <cellStyle name="Normal 9 2 2 2 3 2 2 2 3" xfId="24335" xr:uid="{EE481FFC-7849-4FDE-A092-0838506F4D29}"/>
    <cellStyle name="Normal 9 2 2 2 3 2 2 3" xfId="11670" xr:uid="{9BCD9CD1-9356-4EA3-8335-3EDAF6AE74F9}"/>
    <cellStyle name="Normal 9 2 2 2 3 2 2 4" xfId="20118" xr:uid="{4CF49440-653F-4931-99DD-06C9E433A48D}"/>
    <cellStyle name="Normal 9 2 2 2 3 2 3" xfId="5293" xr:uid="{00000000-0005-0000-0000-00009B1E0000}"/>
    <cellStyle name="Normal 9 2 2 2 3 2 3 2" xfId="13743" xr:uid="{464DC25B-E5B3-42C1-828A-879621E88172}"/>
    <cellStyle name="Normal 9 2 2 2 3 2 3 3" xfId="22190" xr:uid="{2B25DC36-36BF-40BB-8A69-57237069E059}"/>
    <cellStyle name="Normal 9 2 2 2 3 2 4" xfId="9525" xr:uid="{8ECF3282-3FE6-451F-800F-D319F27218FA}"/>
    <cellStyle name="Normal 9 2 2 2 3 2 5" xfId="17973" xr:uid="{FFC92BCE-8369-44F5-92DC-9239CCAD0C79}"/>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2 2 2" xfId="16301" xr:uid="{FE1A5F20-9803-4BF1-819A-B0F7861A0301}"/>
    <cellStyle name="Normal 9 2 2 2 3 3 2 2 3" xfId="24748" xr:uid="{596579A3-5B74-4348-8CEB-8E8FD285C884}"/>
    <cellStyle name="Normal 9 2 2 2 3 3 2 3" xfId="12083" xr:uid="{37B39597-20E0-452D-8222-DD918366E493}"/>
    <cellStyle name="Normal 9 2 2 2 3 3 2 4" xfId="20531" xr:uid="{F3B03B03-9204-47B7-8FD8-999D5FA77EE7}"/>
    <cellStyle name="Normal 9 2 2 2 3 3 3" xfId="5706" xr:uid="{00000000-0005-0000-0000-00009F1E0000}"/>
    <cellStyle name="Normal 9 2 2 2 3 3 3 2" xfId="14156" xr:uid="{4EF5BCA1-C246-43ED-BE32-E2E27B2FBF01}"/>
    <cellStyle name="Normal 9 2 2 2 3 3 3 3" xfId="22603" xr:uid="{B9DEB509-FEC4-49F7-9B15-7831F403EDE7}"/>
    <cellStyle name="Normal 9 2 2 2 3 3 4" xfId="9938" xr:uid="{BA2CD484-75DA-4819-B866-CDD62B2640DD}"/>
    <cellStyle name="Normal 9 2 2 2 3 3 5" xfId="18386" xr:uid="{16CF077D-C0E4-41CE-94C9-B60DE380B136}"/>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2 2 2" xfId="16714" xr:uid="{A1A0A32B-336C-4E42-A328-A794CF651380}"/>
    <cellStyle name="Normal 9 2 2 2 3 4 2 2 3" xfId="25161" xr:uid="{4A34E422-297C-4EC3-A0AF-463CBB73B8CF}"/>
    <cellStyle name="Normal 9 2 2 2 3 4 2 3" xfId="12496" xr:uid="{6D6BF478-396E-460E-9350-223E3378823B}"/>
    <cellStyle name="Normal 9 2 2 2 3 4 2 4" xfId="20944" xr:uid="{69EB87FB-022F-441E-9D60-7E72A0E48D79}"/>
    <cellStyle name="Normal 9 2 2 2 3 4 3" xfId="6119" xr:uid="{00000000-0005-0000-0000-0000A31E0000}"/>
    <cellStyle name="Normal 9 2 2 2 3 4 3 2" xfId="14569" xr:uid="{EBD4220C-CB80-4C2C-BB7D-61F50873076C}"/>
    <cellStyle name="Normal 9 2 2 2 3 4 3 3" xfId="23016" xr:uid="{6E573B70-81FB-437B-9411-3DBF40D7F3C9}"/>
    <cellStyle name="Normal 9 2 2 2 3 4 4" xfId="10351" xr:uid="{19E82F07-E9A3-492E-85FA-AA6B7EB940CE}"/>
    <cellStyle name="Normal 9 2 2 2 3 4 5" xfId="18799" xr:uid="{D75B85C7-BBA0-409B-91ED-AFC3099B92F5}"/>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2 2 2" xfId="17127" xr:uid="{D8F85E27-95FA-4FFC-B5A1-A268A5A69332}"/>
    <cellStyle name="Normal 9 2 2 2 3 5 2 2 3" xfId="25574" xr:uid="{52D0F583-8EC4-491A-942B-ECBCD4FFC85C}"/>
    <cellStyle name="Normal 9 2 2 2 3 5 2 3" xfId="12909" xr:uid="{92B680A7-0795-4598-9E77-AFD116E07655}"/>
    <cellStyle name="Normal 9 2 2 2 3 5 2 4" xfId="21357" xr:uid="{0214C322-2D5C-401D-A6E2-243C46A24639}"/>
    <cellStyle name="Normal 9 2 2 2 3 5 3" xfId="6532" xr:uid="{00000000-0005-0000-0000-0000A71E0000}"/>
    <cellStyle name="Normal 9 2 2 2 3 5 3 2" xfId="14982" xr:uid="{134FE940-69D2-42EE-BD41-F2713A8B008E}"/>
    <cellStyle name="Normal 9 2 2 2 3 5 3 3" xfId="23429" xr:uid="{67342882-F034-4CD9-87EA-E93447728193}"/>
    <cellStyle name="Normal 9 2 2 2 3 5 4" xfId="10764" xr:uid="{ECAC8578-7202-49D3-8006-18BBE967CBB6}"/>
    <cellStyle name="Normal 9 2 2 2 3 5 5" xfId="19212" xr:uid="{981C69CA-A3A5-444A-BA3F-3F38C9916525}"/>
    <cellStyle name="Normal 9 2 2 2 3 6" xfId="2662" xr:uid="{00000000-0005-0000-0000-0000A81E0000}"/>
    <cellStyle name="Normal 9 2 2 2 3 6 2" xfId="6945" xr:uid="{00000000-0005-0000-0000-0000A91E0000}"/>
    <cellStyle name="Normal 9 2 2 2 3 6 2 2" xfId="15395" xr:uid="{F07C8032-4CFF-462B-9194-F3754E3771AA}"/>
    <cellStyle name="Normal 9 2 2 2 3 6 2 3" xfId="23842" xr:uid="{DB65ACF8-89FD-4503-BF71-925E5D5F0CC3}"/>
    <cellStyle name="Normal 9 2 2 2 3 6 3" xfId="11177" xr:uid="{76DD6B12-C6B8-4BE8-B684-025CF540B763}"/>
    <cellStyle name="Normal 9 2 2 2 3 6 4" xfId="19625" xr:uid="{FCBAB4DB-0CA1-483E-8D23-3D49A704E8A1}"/>
    <cellStyle name="Normal 9 2 2 2 3 7" xfId="4880" xr:uid="{00000000-0005-0000-0000-0000AA1E0000}"/>
    <cellStyle name="Normal 9 2 2 2 3 7 2" xfId="13330" xr:uid="{F1C4CC26-05B1-4033-B775-479B736A14FC}"/>
    <cellStyle name="Normal 9 2 2 2 3 7 3" xfId="21777" xr:uid="{6C8A1EB0-15ED-498A-810F-DFC07027CF34}"/>
    <cellStyle name="Normal 9 2 2 2 3 8" xfId="9112" xr:uid="{BD26A5AC-1395-4B4B-8F0E-421A21F78D2C}"/>
    <cellStyle name="Normal 9 2 2 2 3 9" xfId="17560" xr:uid="{33CDFE40-43AB-4C77-A523-E617816B5669}"/>
    <cellStyle name="Normal 9 2 2 2 4" xfId="980" xr:uid="{00000000-0005-0000-0000-0000AB1E0000}"/>
    <cellStyle name="Normal 9 2 2 2 4 2" xfId="3213" xr:uid="{00000000-0005-0000-0000-0000AC1E0000}"/>
    <cellStyle name="Normal 9 2 2 2 4 2 2" xfId="7435" xr:uid="{00000000-0005-0000-0000-0000AD1E0000}"/>
    <cellStyle name="Normal 9 2 2 2 4 2 2 2" xfId="15885" xr:uid="{73EA1358-9A16-428E-9E9A-CFD9111995EC}"/>
    <cellStyle name="Normal 9 2 2 2 4 2 2 3" xfId="24332" xr:uid="{F89844D1-C140-41CE-A73C-F35BDADFA9B6}"/>
    <cellStyle name="Normal 9 2 2 2 4 2 3" xfId="11667" xr:uid="{E7802560-0C67-477C-84CC-8009A98FF975}"/>
    <cellStyle name="Normal 9 2 2 2 4 2 4" xfId="20115" xr:uid="{4C7D2926-5CE2-4C56-B903-2DBD80D153A3}"/>
    <cellStyle name="Normal 9 2 2 2 4 3" xfId="5290" xr:uid="{00000000-0005-0000-0000-0000AE1E0000}"/>
    <cellStyle name="Normal 9 2 2 2 4 3 2" xfId="13740" xr:uid="{363325AC-933E-404C-B5B0-A5F77D6B78E7}"/>
    <cellStyle name="Normal 9 2 2 2 4 3 3" xfId="22187" xr:uid="{B28DE5E7-C5A6-4839-B287-EBAAAEF3DBC3}"/>
    <cellStyle name="Normal 9 2 2 2 4 4" xfId="9522" xr:uid="{C105C2BB-C6C5-44DC-BA18-272BF2153D05}"/>
    <cellStyle name="Normal 9 2 2 2 4 5" xfId="17970" xr:uid="{3E509059-FB40-45DC-A7EE-19267DD55682}"/>
    <cellStyle name="Normal 9 2 2 2 5" xfId="1396" xr:uid="{00000000-0005-0000-0000-0000AF1E0000}"/>
    <cellStyle name="Normal 9 2 2 2 5 2" xfId="3626" xr:uid="{00000000-0005-0000-0000-0000B01E0000}"/>
    <cellStyle name="Normal 9 2 2 2 5 2 2" xfId="7848" xr:uid="{00000000-0005-0000-0000-0000B11E0000}"/>
    <cellStyle name="Normal 9 2 2 2 5 2 2 2" xfId="16298" xr:uid="{72F6869A-AA1D-47EE-BEE7-A238B9455245}"/>
    <cellStyle name="Normal 9 2 2 2 5 2 2 3" xfId="24745" xr:uid="{7F687F99-DC46-4423-98B6-A166FA63EF79}"/>
    <cellStyle name="Normal 9 2 2 2 5 2 3" xfId="12080" xr:uid="{E980D97F-2314-400B-BFE7-C10DC0549566}"/>
    <cellStyle name="Normal 9 2 2 2 5 2 4" xfId="20528" xr:uid="{15D14089-B1FD-422D-B6F7-B443E2F47330}"/>
    <cellStyle name="Normal 9 2 2 2 5 3" xfId="5703" xr:uid="{00000000-0005-0000-0000-0000B21E0000}"/>
    <cellStyle name="Normal 9 2 2 2 5 3 2" xfId="14153" xr:uid="{72410CD3-9CAD-434A-A06B-DF7DDDF242EA}"/>
    <cellStyle name="Normal 9 2 2 2 5 3 3" xfId="22600" xr:uid="{678AB935-D102-49FD-B73C-1D560D4E796D}"/>
    <cellStyle name="Normal 9 2 2 2 5 4" xfId="9935" xr:uid="{73DAD95E-9D4A-4C66-9451-005BC8BD4585}"/>
    <cellStyle name="Normal 9 2 2 2 5 5" xfId="18383" xr:uid="{3ABC9A10-666D-4BA3-B8FE-EC87DE25C55E}"/>
    <cellStyle name="Normal 9 2 2 2 6" xfId="1809" xr:uid="{00000000-0005-0000-0000-0000B31E0000}"/>
    <cellStyle name="Normal 9 2 2 2 6 2" xfId="4039" xr:uid="{00000000-0005-0000-0000-0000B41E0000}"/>
    <cellStyle name="Normal 9 2 2 2 6 2 2" xfId="8261" xr:uid="{00000000-0005-0000-0000-0000B51E0000}"/>
    <cellStyle name="Normal 9 2 2 2 6 2 2 2" xfId="16711" xr:uid="{14A48A12-33A2-463E-A7FE-5FED0AD5CBBD}"/>
    <cellStyle name="Normal 9 2 2 2 6 2 2 3" xfId="25158" xr:uid="{17388A43-61DC-4E15-A7EA-CC83C507B9E2}"/>
    <cellStyle name="Normal 9 2 2 2 6 2 3" xfId="12493" xr:uid="{41C44B34-D0E3-4B0F-806B-95F3E16FBADD}"/>
    <cellStyle name="Normal 9 2 2 2 6 2 4" xfId="20941" xr:uid="{DAF7BAF7-77EA-4170-8020-61FD7C37C8F6}"/>
    <cellStyle name="Normal 9 2 2 2 6 3" xfId="6116" xr:uid="{00000000-0005-0000-0000-0000B61E0000}"/>
    <cellStyle name="Normal 9 2 2 2 6 3 2" xfId="14566" xr:uid="{723E1ACD-549E-4150-9E8F-F9C229B5965F}"/>
    <cellStyle name="Normal 9 2 2 2 6 3 3" xfId="23013" xr:uid="{660B9C0D-6D81-415D-91D3-9490FC0FCE89}"/>
    <cellStyle name="Normal 9 2 2 2 6 4" xfId="10348" xr:uid="{6C46D22B-AEE7-485B-AF01-7CE09A63B716}"/>
    <cellStyle name="Normal 9 2 2 2 6 5" xfId="18796" xr:uid="{08EC2E7D-B1AE-48ED-BFE3-4690C3DF7856}"/>
    <cellStyle name="Normal 9 2 2 2 7" xfId="2223" xr:uid="{00000000-0005-0000-0000-0000B71E0000}"/>
    <cellStyle name="Normal 9 2 2 2 7 2" xfId="4452" xr:uid="{00000000-0005-0000-0000-0000B81E0000}"/>
    <cellStyle name="Normal 9 2 2 2 7 2 2" xfId="8674" xr:uid="{00000000-0005-0000-0000-0000B91E0000}"/>
    <cellStyle name="Normal 9 2 2 2 7 2 2 2" xfId="17124" xr:uid="{4809B0A1-7AA7-4BBE-9D1A-DC0F540A4C0D}"/>
    <cellStyle name="Normal 9 2 2 2 7 2 2 3" xfId="25571" xr:uid="{86C1B2C5-0DBC-47D1-B2BF-0258F99AEFE2}"/>
    <cellStyle name="Normal 9 2 2 2 7 2 3" xfId="12906" xr:uid="{A5E99284-A206-450F-A95C-2AF5F9F818CC}"/>
    <cellStyle name="Normal 9 2 2 2 7 2 4" xfId="21354" xr:uid="{9CFE5650-F2B0-4451-B709-9CD0DAE14308}"/>
    <cellStyle name="Normal 9 2 2 2 7 3" xfId="6529" xr:uid="{00000000-0005-0000-0000-0000BA1E0000}"/>
    <cellStyle name="Normal 9 2 2 2 7 3 2" xfId="14979" xr:uid="{AC2EA73A-1B08-445E-B7AE-D231247895E9}"/>
    <cellStyle name="Normal 9 2 2 2 7 3 3" xfId="23426" xr:uid="{4BEA93FF-BD2F-4F78-8B0A-E45F81DDB775}"/>
    <cellStyle name="Normal 9 2 2 2 7 4" xfId="10761" xr:uid="{A0E9EB05-4EBC-4B0F-ADBD-23B60DE37400}"/>
    <cellStyle name="Normal 9 2 2 2 7 5" xfId="19209" xr:uid="{15C55EEA-D896-4BEB-A3EB-A5EB283475DC}"/>
    <cellStyle name="Normal 9 2 2 2 8" xfId="2659" xr:uid="{00000000-0005-0000-0000-0000BB1E0000}"/>
    <cellStyle name="Normal 9 2 2 2 8 2" xfId="6942" xr:uid="{00000000-0005-0000-0000-0000BC1E0000}"/>
    <cellStyle name="Normal 9 2 2 2 8 2 2" xfId="15392" xr:uid="{1AAD5772-4062-41EA-92B6-7909B3546D03}"/>
    <cellStyle name="Normal 9 2 2 2 8 2 3" xfId="23839" xr:uid="{30CF14E2-29BC-4DF6-8FBA-BC9933AAF6B7}"/>
    <cellStyle name="Normal 9 2 2 2 8 3" xfId="11174" xr:uid="{D2200452-9703-4FD8-A16C-2D9ADF53BC24}"/>
    <cellStyle name="Normal 9 2 2 2 8 4" xfId="19622" xr:uid="{638D3FA8-C876-4548-A97B-76DD008BF937}"/>
    <cellStyle name="Normal 9 2 2 2 9" xfId="4877" xr:uid="{00000000-0005-0000-0000-0000BD1E0000}"/>
    <cellStyle name="Normal 9 2 2 2 9 2" xfId="13327" xr:uid="{CF393CE0-F23D-47A0-B8CC-8DCCDABFA493}"/>
    <cellStyle name="Normal 9 2 2 2 9 3" xfId="21774" xr:uid="{05F43E2F-A5CC-4379-869F-AF7152A66B40}"/>
    <cellStyle name="Normal 9 2 2 3" xfId="517" xr:uid="{00000000-0005-0000-0000-0000BE1E0000}"/>
    <cellStyle name="Normal 9 2 2 3 10" xfId="17561" xr:uid="{82F9D810-5BDA-4665-A8B7-6D22E074AB3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2 2 2" xfId="15890" xr:uid="{0A26F9B2-0F92-4BA6-B14A-8DF3F618A3ED}"/>
    <cellStyle name="Normal 9 2 2 3 2 2 2 2 3" xfId="24337" xr:uid="{2BD98C42-D92B-4D6A-A1F0-0B3F0E812CD5}"/>
    <cellStyle name="Normal 9 2 2 3 2 2 2 3" xfId="11672" xr:uid="{E97CD34D-9682-4BA5-B404-730BCA04B4A9}"/>
    <cellStyle name="Normal 9 2 2 3 2 2 2 4" xfId="20120" xr:uid="{7E122350-C03B-4E95-A50C-E3AC0384CB46}"/>
    <cellStyle name="Normal 9 2 2 3 2 2 3" xfId="5295" xr:uid="{00000000-0005-0000-0000-0000C31E0000}"/>
    <cellStyle name="Normal 9 2 2 3 2 2 3 2" xfId="13745" xr:uid="{6D8B86C9-4171-46D6-AE8F-E169861B99B3}"/>
    <cellStyle name="Normal 9 2 2 3 2 2 3 3" xfId="22192" xr:uid="{7D6E3D72-E346-4200-AD1E-2560BBF65CF9}"/>
    <cellStyle name="Normal 9 2 2 3 2 2 4" xfId="9527" xr:uid="{74C728EC-0E7A-4E97-B9A7-6C956A8A88C1}"/>
    <cellStyle name="Normal 9 2 2 3 2 2 5" xfId="17975" xr:uid="{BBA38EB7-7670-44E6-A176-C64B4B4DAD66}"/>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2 2 2" xfId="16303" xr:uid="{71130D2A-6880-443F-A907-E9F8A51BC470}"/>
    <cellStyle name="Normal 9 2 2 3 2 3 2 2 3" xfId="24750" xr:uid="{98654B90-7670-43A7-9EE8-AE8E35D291DD}"/>
    <cellStyle name="Normal 9 2 2 3 2 3 2 3" xfId="12085" xr:uid="{6D624B2D-97C2-44DC-AE2A-DF49DEFEDBD0}"/>
    <cellStyle name="Normal 9 2 2 3 2 3 2 4" xfId="20533" xr:uid="{A7230ACE-EE4F-47C6-B7DD-FD7F7CABCCC9}"/>
    <cellStyle name="Normal 9 2 2 3 2 3 3" xfId="5708" xr:uid="{00000000-0005-0000-0000-0000C71E0000}"/>
    <cellStyle name="Normal 9 2 2 3 2 3 3 2" xfId="14158" xr:uid="{8C12F99B-C06D-4797-8DA6-3256ABB66C67}"/>
    <cellStyle name="Normal 9 2 2 3 2 3 3 3" xfId="22605" xr:uid="{ABDFC8FA-4DB7-44FB-8190-7AC307539157}"/>
    <cellStyle name="Normal 9 2 2 3 2 3 4" xfId="9940" xr:uid="{C5489878-C99A-4662-8F6F-FBCA1C3AECB8}"/>
    <cellStyle name="Normal 9 2 2 3 2 3 5" xfId="18388" xr:uid="{C295230D-B0CF-4262-BD80-2D9309DBA75B}"/>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2 2 2" xfId="16716" xr:uid="{3D230EBB-01FE-499C-A3F3-F9B23C53E782}"/>
    <cellStyle name="Normal 9 2 2 3 2 4 2 2 3" xfId="25163" xr:uid="{A31BF18D-1AFD-483F-A26E-CDB69CB8290E}"/>
    <cellStyle name="Normal 9 2 2 3 2 4 2 3" xfId="12498" xr:uid="{84DC2157-4DE5-4DBE-ACDD-A60EC3EF8F18}"/>
    <cellStyle name="Normal 9 2 2 3 2 4 2 4" xfId="20946" xr:uid="{F210A9BA-EA67-4BF2-A6A9-35CD9A3823F4}"/>
    <cellStyle name="Normal 9 2 2 3 2 4 3" xfId="6121" xr:uid="{00000000-0005-0000-0000-0000CB1E0000}"/>
    <cellStyle name="Normal 9 2 2 3 2 4 3 2" xfId="14571" xr:uid="{69809394-26E2-49D1-9B0C-E9436BD64B4A}"/>
    <cellStyle name="Normal 9 2 2 3 2 4 3 3" xfId="23018" xr:uid="{D0C15E79-29D2-4845-A8E2-5C0F6BA75BCE}"/>
    <cellStyle name="Normal 9 2 2 3 2 4 4" xfId="10353" xr:uid="{F8E58747-A09F-42F3-99A6-04C26D6961E9}"/>
    <cellStyle name="Normal 9 2 2 3 2 4 5" xfId="18801" xr:uid="{639EFA28-FBE8-44AC-ADE7-34A2030BF9CA}"/>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2 2 2" xfId="17129" xr:uid="{69CC7F63-BD47-4D12-AECB-5D2783B651D8}"/>
    <cellStyle name="Normal 9 2 2 3 2 5 2 2 3" xfId="25576" xr:uid="{01599F7D-E264-4229-8D9D-EF6D06EEF2CE}"/>
    <cellStyle name="Normal 9 2 2 3 2 5 2 3" xfId="12911" xr:uid="{4BD3DFA7-DF69-4A8C-9625-B7677476DFD8}"/>
    <cellStyle name="Normal 9 2 2 3 2 5 2 4" xfId="21359" xr:uid="{A54F8CB7-EB36-4D69-9918-123881ADDAAC}"/>
    <cellStyle name="Normal 9 2 2 3 2 5 3" xfId="6534" xr:uid="{00000000-0005-0000-0000-0000CF1E0000}"/>
    <cellStyle name="Normal 9 2 2 3 2 5 3 2" xfId="14984" xr:uid="{C31C583B-02DA-44C9-BF79-96603E016FE3}"/>
    <cellStyle name="Normal 9 2 2 3 2 5 3 3" xfId="23431" xr:uid="{04C24206-EDD9-499A-9F12-D97A2266F232}"/>
    <cellStyle name="Normal 9 2 2 3 2 5 4" xfId="10766" xr:uid="{FE35088B-BC62-48EA-B11A-DBF98B2B8C62}"/>
    <cellStyle name="Normal 9 2 2 3 2 5 5" xfId="19214" xr:uid="{2A763CAF-D656-4942-BC06-075F5BADBA7E}"/>
    <cellStyle name="Normal 9 2 2 3 2 6" xfId="2664" xr:uid="{00000000-0005-0000-0000-0000D01E0000}"/>
    <cellStyle name="Normal 9 2 2 3 2 6 2" xfId="6947" xr:uid="{00000000-0005-0000-0000-0000D11E0000}"/>
    <cellStyle name="Normal 9 2 2 3 2 6 2 2" xfId="15397" xr:uid="{9BFEFE2F-0E6E-4C9B-A9A6-8B9670309A9A}"/>
    <cellStyle name="Normal 9 2 2 3 2 6 2 3" xfId="23844" xr:uid="{1423297F-25F9-47C9-839D-5DE5DA14C194}"/>
    <cellStyle name="Normal 9 2 2 3 2 6 3" xfId="11179" xr:uid="{3B4FD292-8352-4084-8038-DB9162C7FB66}"/>
    <cellStyle name="Normal 9 2 2 3 2 6 4" xfId="19627" xr:uid="{273D7DF2-40AF-4091-B7B9-0946CE286165}"/>
    <cellStyle name="Normal 9 2 2 3 2 7" xfId="4882" xr:uid="{00000000-0005-0000-0000-0000D21E0000}"/>
    <cellStyle name="Normal 9 2 2 3 2 7 2" xfId="13332" xr:uid="{8160ECCC-9F0B-4F5C-B731-16EC77742A8C}"/>
    <cellStyle name="Normal 9 2 2 3 2 7 3" xfId="21779" xr:uid="{B03F767C-94A9-443B-A061-796B37D63F75}"/>
    <cellStyle name="Normal 9 2 2 3 2 8" xfId="9114" xr:uid="{97B508A6-A7DE-425B-ACE8-40D1109ECA97}"/>
    <cellStyle name="Normal 9 2 2 3 2 9" xfId="17562" xr:uid="{ECF9D0B7-8556-45C8-98DF-EDD28623088B}"/>
    <cellStyle name="Normal 9 2 2 3 3" xfId="984" xr:uid="{00000000-0005-0000-0000-0000D31E0000}"/>
    <cellStyle name="Normal 9 2 2 3 3 2" xfId="3217" xr:uid="{00000000-0005-0000-0000-0000D41E0000}"/>
    <cellStyle name="Normal 9 2 2 3 3 2 2" xfId="7439" xr:uid="{00000000-0005-0000-0000-0000D51E0000}"/>
    <cellStyle name="Normal 9 2 2 3 3 2 2 2" xfId="15889" xr:uid="{1B38F5E0-60FA-4204-A5CC-FB0F492FF4BC}"/>
    <cellStyle name="Normal 9 2 2 3 3 2 2 3" xfId="24336" xr:uid="{2FCF2E6A-FF10-462C-9DAF-91B02D14642A}"/>
    <cellStyle name="Normal 9 2 2 3 3 2 3" xfId="11671" xr:uid="{77502E42-DD3F-4A57-86AE-38B4102457E5}"/>
    <cellStyle name="Normal 9 2 2 3 3 2 4" xfId="20119" xr:uid="{26BA864B-3DF8-4B44-B21E-23A55C90A399}"/>
    <cellStyle name="Normal 9 2 2 3 3 3" xfId="5294" xr:uid="{00000000-0005-0000-0000-0000D61E0000}"/>
    <cellStyle name="Normal 9 2 2 3 3 3 2" xfId="13744" xr:uid="{5553DEA4-56F6-4C71-85B5-748B67E842A3}"/>
    <cellStyle name="Normal 9 2 2 3 3 3 3" xfId="22191" xr:uid="{BF113D7F-EF92-4B25-9992-439719CE7F07}"/>
    <cellStyle name="Normal 9 2 2 3 3 4" xfId="9526" xr:uid="{7549812C-2B1A-440B-9D26-0BC7773D3FC1}"/>
    <cellStyle name="Normal 9 2 2 3 3 5" xfId="17974" xr:uid="{AEA50E27-11DC-4DF9-9288-A69784E13285}"/>
    <cellStyle name="Normal 9 2 2 3 4" xfId="1400" xr:uid="{00000000-0005-0000-0000-0000D71E0000}"/>
    <cellStyle name="Normal 9 2 2 3 4 2" xfId="3630" xr:uid="{00000000-0005-0000-0000-0000D81E0000}"/>
    <cellStyle name="Normal 9 2 2 3 4 2 2" xfId="7852" xr:uid="{00000000-0005-0000-0000-0000D91E0000}"/>
    <cellStyle name="Normal 9 2 2 3 4 2 2 2" xfId="16302" xr:uid="{9EBB0A64-F2E6-4325-AACE-0250EDDC6986}"/>
    <cellStyle name="Normal 9 2 2 3 4 2 2 3" xfId="24749" xr:uid="{E440C974-E012-49F1-B593-6648C067FED7}"/>
    <cellStyle name="Normal 9 2 2 3 4 2 3" xfId="12084" xr:uid="{7296B873-771A-4160-B307-458FB9789771}"/>
    <cellStyle name="Normal 9 2 2 3 4 2 4" xfId="20532" xr:uid="{30A40E71-ADDB-4E8F-BF68-191BA76477CB}"/>
    <cellStyle name="Normal 9 2 2 3 4 3" xfId="5707" xr:uid="{00000000-0005-0000-0000-0000DA1E0000}"/>
    <cellStyle name="Normal 9 2 2 3 4 3 2" xfId="14157" xr:uid="{55B51DCD-701D-4441-AD47-9E936434EB2D}"/>
    <cellStyle name="Normal 9 2 2 3 4 3 3" xfId="22604" xr:uid="{93212C8A-D432-4B76-BCBF-27E42AC27E77}"/>
    <cellStyle name="Normal 9 2 2 3 4 4" xfId="9939" xr:uid="{8389B118-E8B6-4568-B002-8DC1BB172ACD}"/>
    <cellStyle name="Normal 9 2 2 3 4 5" xfId="18387" xr:uid="{39771AAD-AA5C-4875-8C23-CDC80101D080}"/>
    <cellStyle name="Normal 9 2 2 3 5" xfId="1813" xr:uid="{00000000-0005-0000-0000-0000DB1E0000}"/>
    <cellStyle name="Normal 9 2 2 3 5 2" xfId="4043" xr:uid="{00000000-0005-0000-0000-0000DC1E0000}"/>
    <cellStyle name="Normal 9 2 2 3 5 2 2" xfId="8265" xr:uid="{00000000-0005-0000-0000-0000DD1E0000}"/>
    <cellStyle name="Normal 9 2 2 3 5 2 2 2" xfId="16715" xr:uid="{942E9A5C-F819-4AFB-B328-8EC61B605D74}"/>
    <cellStyle name="Normal 9 2 2 3 5 2 2 3" xfId="25162" xr:uid="{226BEA0F-E570-4EF8-9363-187E2CC52B85}"/>
    <cellStyle name="Normal 9 2 2 3 5 2 3" xfId="12497" xr:uid="{EF2D208C-966D-4D44-B13C-E4200FE022BF}"/>
    <cellStyle name="Normal 9 2 2 3 5 2 4" xfId="20945" xr:uid="{A750D51E-27CA-49E4-AE67-FBF61131532E}"/>
    <cellStyle name="Normal 9 2 2 3 5 3" xfId="6120" xr:uid="{00000000-0005-0000-0000-0000DE1E0000}"/>
    <cellStyle name="Normal 9 2 2 3 5 3 2" xfId="14570" xr:uid="{523E3605-44BD-400A-B24B-AADB8020664D}"/>
    <cellStyle name="Normal 9 2 2 3 5 3 3" xfId="23017" xr:uid="{938BBF24-6825-48CB-AF6D-45282FDA3A64}"/>
    <cellStyle name="Normal 9 2 2 3 5 4" xfId="10352" xr:uid="{29572F97-4D65-4950-BA72-F81726F47A1E}"/>
    <cellStyle name="Normal 9 2 2 3 5 5" xfId="18800" xr:uid="{445F3373-FE90-4263-AA8D-BE4979F84DF0}"/>
    <cellStyle name="Normal 9 2 2 3 6" xfId="2227" xr:uid="{00000000-0005-0000-0000-0000DF1E0000}"/>
    <cellStyle name="Normal 9 2 2 3 6 2" xfId="4456" xr:uid="{00000000-0005-0000-0000-0000E01E0000}"/>
    <cellStyle name="Normal 9 2 2 3 6 2 2" xfId="8678" xr:uid="{00000000-0005-0000-0000-0000E11E0000}"/>
    <cellStyle name="Normal 9 2 2 3 6 2 2 2" xfId="17128" xr:uid="{6D68A6F0-D7F0-4225-9FCE-3FFB42304D75}"/>
    <cellStyle name="Normal 9 2 2 3 6 2 2 3" xfId="25575" xr:uid="{93E4075F-8289-4D4E-A6A1-EDF7FB999580}"/>
    <cellStyle name="Normal 9 2 2 3 6 2 3" xfId="12910" xr:uid="{93E01E49-4B45-47DA-90BD-11E379BBED03}"/>
    <cellStyle name="Normal 9 2 2 3 6 2 4" xfId="21358" xr:uid="{4F496F73-3B72-4F11-A84F-AE30BD5BF125}"/>
    <cellStyle name="Normal 9 2 2 3 6 3" xfId="6533" xr:uid="{00000000-0005-0000-0000-0000E21E0000}"/>
    <cellStyle name="Normal 9 2 2 3 6 3 2" xfId="14983" xr:uid="{A454AABE-52D6-4A4F-80B1-E5B59C2A3BA8}"/>
    <cellStyle name="Normal 9 2 2 3 6 3 3" xfId="23430" xr:uid="{6D396013-CC1F-4899-8B2E-40172A59FC21}"/>
    <cellStyle name="Normal 9 2 2 3 6 4" xfId="10765" xr:uid="{EE846572-FEE2-40E7-8CA3-8FC7F6190D57}"/>
    <cellStyle name="Normal 9 2 2 3 6 5" xfId="19213" xr:uid="{385B59D5-5D27-4BC1-AC0C-098C801F4394}"/>
    <cellStyle name="Normal 9 2 2 3 7" xfId="2663" xr:uid="{00000000-0005-0000-0000-0000E31E0000}"/>
    <cellStyle name="Normal 9 2 2 3 7 2" xfId="6946" xr:uid="{00000000-0005-0000-0000-0000E41E0000}"/>
    <cellStyle name="Normal 9 2 2 3 7 2 2" xfId="15396" xr:uid="{5C6DFFC4-E939-4714-A0CC-CF9A2B53ECED}"/>
    <cellStyle name="Normal 9 2 2 3 7 2 3" xfId="23843" xr:uid="{C779CEE9-2513-47C3-BC28-F7CD6C544458}"/>
    <cellStyle name="Normal 9 2 2 3 7 3" xfId="11178" xr:uid="{C8FF3C72-9210-43E3-9D8C-6E9C2B1BE09B}"/>
    <cellStyle name="Normal 9 2 2 3 7 4" xfId="19626" xr:uid="{6F5D2AA8-898B-41C7-B5AC-9F6E35C8EA61}"/>
    <cellStyle name="Normal 9 2 2 3 8" xfId="4881" xr:uid="{00000000-0005-0000-0000-0000E51E0000}"/>
    <cellStyle name="Normal 9 2 2 3 8 2" xfId="13331" xr:uid="{BDAE9875-3109-4954-BC56-27DE6C9AFDC5}"/>
    <cellStyle name="Normal 9 2 2 3 8 3" xfId="21778" xr:uid="{7243D8DA-2088-4C17-9AF2-89303659832D}"/>
    <cellStyle name="Normal 9 2 2 3 9" xfId="9113" xr:uid="{5D5A1FF4-BAF4-4C2F-973D-B82F50264B25}"/>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2 2 2" xfId="15891" xr:uid="{FA96A0AA-2DE1-4402-9C03-8DA93D2C80B3}"/>
    <cellStyle name="Normal 9 2 2 4 2 2 2 3" xfId="24338" xr:uid="{A629A074-269A-4CE0-A87F-3FEEEE7D756E}"/>
    <cellStyle name="Normal 9 2 2 4 2 2 3" xfId="11673" xr:uid="{4AE2D71C-0BEE-4C29-B7D2-089901867C75}"/>
    <cellStyle name="Normal 9 2 2 4 2 2 4" xfId="20121" xr:uid="{4B1FD6E0-047A-40CD-B7F2-E6356EF1E485}"/>
    <cellStyle name="Normal 9 2 2 4 2 3" xfId="5296" xr:uid="{00000000-0005-0000-0000-0000EA1E0000}"/>
    <cellStyle name="Normal 9 2 2 4 2 3 2" xfId="13746" xr:uid="{CCD41B6E-8B2C-4F9A-8644-231C86C8EE7F}"/>
    <cellStyle name="Normal 9 2 2 4 2 3 3" xfId="22193" xr:uid="{EEC99C4B-6C76-4199-9D52-D93C413EDF7C}"/>
    <cellStyle name="Normal 9 2 2 4 2 4" xfId="9528" xr:uid="{374940A5-F239-418E-B9BE-5CC66699B6D2}"/>
    <cellStyle name="Normal 9 2 2 4 2 5" xfId="17976" xr:uid="{BDFF0166-1804-4DE7-A409-99A66275A3F5}"/>
    <cellStyle name="Normal 9 2 2 4 3" xfId="1402" xr:uid="{00000000-0005-0000-0000-0000EB1E0000}"/>
    <cellStyle name="Normal 9 2 2 4 3 2" xfId="3632" xr:uid="{00000000-0005-0000-0000-0000EC1E0000}"/>
    <cellStyle name="Normal 9 2 2 4 3 2 2" xfId="7854" xr:uid="{00000000-0005-0000-0000-0000ED1E0000}"/>
    <cellStyle name="Normal 9 2 2 4 3 2 2 2" xfId="16304" xr:uid="{DD31DB52-2B00-463B-892C-1F553F57BD59}"/>
    <cellStyle name="Normal 9 2 2 4 3 2 2 3" xfId="24751" xr:uid="{32EB1E8D-C060-45B3-8FF1-3ED649F60597}"/>
    <cellStyle name="Normal 9 2 2 4 3 2 3" xfId="12086" xr:uid="{19D03B56-7E3E-4D8D-BEA7-95F491C37ED1}"/>
    <cellStyle name="Normal 9 2 2 4 3 2 4" xfId="20534" xr:uid="{8CDB58F5-4176-44DD-A40A-9BB46B83A376}"/>
    <cellStyle name="Normal 9 2 2 4 3 3" xfId="5709" xr:uid="{00000000-0005-0000-0000-0000EE1E0000}"/>
    <cellStyle name="Normal 9 2 2 4 3 3 2" xfId="14159" xr:uid="{FF75F685-74B7-4252-8BBD-3008492F3940}"/>
    <cellStyle name="Normal 9 2 2 4 3 3 3" xfId="22606" xr:uid="{C47D7700-F631-43A4-87FF-4CDE106221FA}"/>
    <cellStyle name="Normal 9 2 2 4 3 4" xfId="9941" xr:uid="{83C1EEE0-73B7-4D62-9F7B-5FE25D1FB5AF}"/>
    <cellStyle name="Normal 9 2 2 4 3 5" xfId="18389" xr:uid="{15B8306A-ACEA-42E3-8E35-D1B5D477ADFD}"/>
    <cellStyle name="Normal 9 2 2 4 4" xfId="1815" xr:uid="{00000000-0005-0000-0000-0000EF1E0000}"/>
    <cellStyle name="Normal 9 2 2 4 4 2" xfId="4045" xr:uid="{00000000-0005-0000-0000-0000F01E0000}"/>
    <cellStyle name="Normal 9 2 2 4 4 2 2" xfId="8267" xr:uid="{00000000-0005-0000-0000-0000F11E0000}"/>
    <cellStyle name="Normal 9 2 2 4 4 2 2 2" xfId="16717" xr:uid="{86A92F75-BA7E-4F81-A32C-A33E5CC8B920}"/>
    <cellStyle name="Normal 9 2 2 4 4 2 2 3" xfId="25164" xr:uid="{5FD0E157-0683-4BD6-BD98-30D4BC873D0C}"/>
    <cellStyle name="Normal 9 2 2 4 4 2 3" xfId="12499" xr:uid="{33C2600F-83F3-473E-980E-0B783C2D9F43}"/>
    <cellStyle name="Normal 9 2 2 4 4 2 4" xfId="20947" xr:uid="{3E10CDE4-12AB-4CB1-99D6-7BFD0DF5EB9F}"/>
    <cellStyle name="Normal 9 2 2 4 4 3" xfId="6122" xr:uid="{00000000-0005-0000-0000-0000F21E0000}"/>
    <cellStyle name="Normal 9 2 2 4 4 3 2" xfId="14572" xr:uid="{440CE12A-567F-4533-B5D0-185481ECC949}"/>
    <cellStyle name="Normal 9 2 2 4 4 3 3" xfId="23019" xr:uid="{334F0999-1850-43E2-90EF-9E5595D43139}"/>
    <cellStyle name="Normal 9 2 2 4 4 4" xfId="10354" xr:uid="{8DC47A8F-B489-4E65-BEEC-BB38A0A87FC3}"/>
    <cellStyle name="Normal 9 2 2 4 4 5" xfId="18802" xr:uid="{BC70E454-91C2-45AE-8184-C2BDFA2F86C4}"/>
    <cellStyle name="Normal 9 2 2 4 5" xfId="2229" xr:uid="{00000000-0005-0000-0000-0000F31E0000}"/>
    <cellStyle name="Normal 9 2 2 4 5 2" xfId="4458" xr:uid="{00000000-0005-0000-0000-0000F41E0000}"/>
    <cellStyle name="Normal 9 2 2 4 5 2 2" xfId="8680" xr:uid="{00000000-0005-0000-0000-0000F51E0000}"/>
    <cellStyle name="Normal 9 2 2 4 5 2 2 2" xfId="17130" xr:uid="{9E4BC7F7-5A52-49BD-B5D5-F06E32A0CC89}"/>
    <cellStyle name="Normal 9 2 2 4 5 2 2 3" xfId="25577" xr:uid="{9543FFC6-8E09-4AEA-9C41-8918267DF9FE}"/>
    <cellStyle name="Normal 9 2 2 4 5 2 3" xfId="12912" xr:uid="{81144E0D-5EBF-409E-A871-E1C5627D5163}"/>
    <cellStyle name="Normal 9 2 2 4 5 2 4" xfId="21360" xr:uid="{72FB365B-ED4A-4B27-AB0E-02DA057D3B56}"/>
    <cellStyle name="Normal 9 2 2 4 5 3" xfId="6535" xr:uid="{00000000-0005-0000-0000-0000F61E0000}"/>
    <cellStyle name="Normal 9 2 2 4 5 3 2" xfId="14985" xr:uid="{E9B1B8AB-E0B9-4D99-B405-0B8CD080ECEA}"/>
    <cellStyle name="Normal 9 2 2 4 5 3 3" xfId="23432" xr:uid="{171AAF96-3EC5-4D18-BBAA-51224DE378BD}"/>
    <cellStyle name="Normal 9 2 2 4 5 4" xfId="10767" xr:uid="{6897B471-DA9C-4283-81ED-62A9A917D086}"/>
    <cellStyle name="Normal 9 2 2 4 5 5" xfId="19215" xr:uid="{B36E1DB5-3BD2-4EB3-AA43-00C4ECA6C543}"/>
    <cellStyle name="Normal 9 2 2 4 6" xfId="2665" xr:uid="{00000000-0005-0000-0000-0000F71E0000}"/>
    <cellStyle name="Normal 9 2 2 4 6 2" xfId="6948" xr:uid="{00000000-0005-0000-0000-0000F81E0000}"/>
    <cellStyle name="Normal 9 2 2 4 6 2 2" xfId="15398" xr:uid="{513F9FA7-70E3-4E31-AF6A-85E2C5418004}"/>
    <cellStyle name="Normal 9 2 2 4 6 2 3" xfId="23845" xr:uid="{9006EE2B-0134-4ADB-A0C6-039953160742}"/>
    <cellStyle name="Normal 9 2 2 4 6 3" xfId="11180" xr:uid="{C2C91085-836A-4A63-BB4A-87CEE85FA7E1}"/>
    <cellStyle name="Normal 9 2 2 4 6 4" xfId="19628" xr:uid="{C7726C2C-5FDF-4C23-B573-4866A4DE6F6F}"/>
    <cellStyle name="Normal 9 2 2 4 7" xfId="4883" xr:uid="{00000000-0005-0000-0000-0000F91E0000}"/>
    <cellStyle name="Normal 9 2 2 4 7 2" xfId="13333" xr:uid="{46B219FE-0244-4944-923B-AF12E7936869}"/>
    <cellStyle name="Normal 9 2 2 4 7 3" xfId="21780" xr:uid="{84C2188B-F474-4435-BE73-E7D4139D0797}"/>
    <cellStyle name="Normal 9 2 2 4 8" xfId="9115" xr:uid="{C4D6F34F-BE46-464D-AC2D-D3F6EA04B88C}"/>
    <cellStyle name="Normal 9 2 2 4 9" xfId="17563" xr:uid="{6B8BA0A4-02EE-4603-80AF-C5A21DA7F2C8}"/>
    <cellStyle name="Normal 9 2 2 5" xfId="979" xr:uid="{00000000-0005-0000-0000-0000FA1E0000}"/>
    <cellStyle name="Normal 9 2 2 5 2" xfId="3212" xr:uid="{00000000-0005-0000-0000-0000FB1E0000}"/>
    <cellStyle name="Normal 9 2 2 5 2 2" xfId="7434" xr:uid="{00000000-0005-0000-0000-0000FC1E0000}"/>
    <cellStyle name="Normal 9 2 2 5 2 2 2" xfId="15884" xr:uid="{562066F4-0291-4B1D-80CB-E3BFE7F15A51}"/>
    <cellStyle name="Normal 9 2 2 5 2 2 3" xfId="24331" xr:uid="{98345A45-5371-4050-BFE6-D8E8F02B555B}"/>
    <cellStyle name="Normal 9 2 2 5 2 3" xfId="11666" xr:uid="{2877F0D7-5389-4D05-9BBF-54FB4CEBCF6B}"/>
    <cellStyle name="Normal 9 2 2 5 2 4" xfId="20114" xr:uid="{CBDED117-69FE-4F6B-8413-55454C05E87F}"/>
    <cellStyle name="Normal 9 2 2 5 3" xfId="5289" xr:uid="{00000000-0005-0000-0000-0000FD1E0000}"/>
    <cellStyle name="Normal 9 2 2 5 3 2" xfId="13739" xr:uid="{76995F0B-F344-4BD4-9BDD-EB70F20AF766}"/>
    <cellStyle name="Normal 9 2 2 5 3 3" xfId="22186" xr:uid="{30429FBD-18C0-4321-8C7E-56AA0D461707}"/>
    <cellStyle name="Normal 9 2 2 5 4" xfId="9521" xr:uid="{803F12EC-F7B1-43B9-9AC4-F6CC15440F6E}"/>
    <cellStyle name="Normal 9 2 2 5 5" xfId="17969" xr:uid="{E8B6552F-88C9-4D60-B581-FD6A6CD34BAC}"/>
    <cellStyle name="Normal 9 2 2 6" xfId="1395" xr:uid="{00000000-0005-0000-0000-0000FE1E0000}"/>
    <cellStyle name="Normal 9 2 2 6 2" xfId="3625" xr:uid="{00000000-0005-0000-0000-0000FF1E0000}"/>
    <cellStyle name="Normal 9 2 2 6 2 2" xfId="7847" xr:uid="{00000000-0005-0000-0000-0000001F0000}"/>
    <cellStyle name="Normal 9 2 2 6 2 2 2" xfId="16297" xr:uid="{C7328A25-6E63-4974-BBE4-EBE99429B206}"/>
    <cellStyle name="Normal 9 2 2 6 2 2 3" xfId="24744" xr:uid="{7F10050C-AC77-440E-9572-FB467E9464EE}"/>
    <cellStyle name="Normal 9 2 2 6 2 3" xfId="12079" xr:uid="{96871AA0-C0C8-4658-86A3-F60F0E66B31A}"/>
    <cellStyle name="Normal 9 2 2 6 2 4" xfId="20527" xr:uid="{9586C723-1BC5-4EF9-B5AB-C15717FD668C}"/>
    <cellStyle name="Normal 9 2 2 6 3" xfId="5702" xr:uid="{00000000-0005-0000-0000-0000011F0000}"/>
    <cellStyle name="Normal 9 2 2 6 3 2" xfId="14152" xr:uid="{78528258-3E5B-4C79-95F3-53F4C802580B}"/>
    <cellStyle name="Normal 9 2 2 6 3 3" xfId="22599" xr:uid="{4797D63D-B269-4520-BC48-CF7CE03B4D0C}"/>
    <cellStyle name="Normal 9 2 2 6 4" xfId="9934" xr:uid="{B0719E5B-0752-41B2-931B-C6AAA466D0F7}"/>
    <cellStyle name="Normal 9 2 2 6 5" xfId="18382" xr:uid="{FABCDA70-BA74-46AD-B45F-2E077D1454EC}"/>
    <cellStyle name="Normal 9 2 2 7" xfId="1808" xr:uid="{00000000-0005-0000-0000-0000021F0000}"/>
    <cellStyle name="Normal 9 2 2 7 2" xfId="4038" xr:uid="{00000000-0005-0000-0000-0000031F0000}"/>
    <cellStyle name="Normal 9 2 2 7 2 2" xfId="8260" xr:uid="{00000000-0005-0000-0000-0000041F0000}"/>
    <cellStyle name="Normal 9 2 2 7 2 2 2" xfId="16710" xr:uid="{C06C8E9D-B204-40C6-8E51-0138DE527FE2}"/>
    <cellStyle name="Normal 9 2 2 7 2 2 3" xfId="25157" xr:uid="{645BAA91-50FA-45FB-98B7-2C93535446BC}"/>
    <cellStyle name="Normal 9 2 2 7 2 3" xfId="12492" xr:uid="{08084D0A-0862-4ED8-92BE-4801658D31A0}"/>
    <cellStyle name="Normal 9 2 2 7 2 4" xfId="20940" xr:uid="{632309C4-FF18-4BE2-ABD2-83812189AC70}"/>
    <cellStyle name="Normal 9 2 2 7 3" xfId="6115" xr:uid="{00000000-0005-0000-0000-0000051F0000}"/>
    <cellStyle name="Normal 9 2 2 7 3 2" xfId="14565" xr:uid="{1B1B5284-E3F9-4FD2-840B-9F7A4898433E}"/>
    <cellStyle name="Normal 9 2 2 7 3 3" xfId="23012" xr:uid="{30372B62-E2AE-4521-B868-B5AC6ABF840B}"/>
    <cellStyle name="Normal 9 2 2 7 4" xfId="10347" xr:uid="{740DF433-AEBC-4416-BDD5-14FD0E145D34}"/>
    <cellStyle name="Normal 9 2 2 7 5" xfId="18795" xr:uid="{4A743487-B420-4347-933E-3373838B6627}"/>
    <cellStyle name="Normal 9 2 2 8" xfId="2222" xr:uid="{00000000-0005-0000-0000-0000061F0000}"/>
    <cellStyle name="Normal 9 2 2 8 2" xfId="4451" xr:uid="{00000000-0005-0000-0000-0000071F0000}"/>
    <cellStyle name="Normal 9 2 2 8 2 2" xfId="8673" xr:uid="{00000000-0005-0000-0000-0000081F0000}"/>
    <cellStyle name="Normal 9 2 2 8 2 2 2" xfId="17123" xr:uid="{618DAFB0-A10D-4847-95BD-E056C685E92D}"/>
    <cellStyle name="Normal 9 2 2 8 2 2 3" xfId="25570" xr:uid="{A47C2AE6-3DA0-4BAF-BD01-8F9D52031F85}"/>
    <cellStyle name="Normal 9 2 2 8 2 3" xfId="12905" xr:uid="{744B6679-5712-4741-B5A0-C1774A6757A5}"/>
    <cellStyle name="Normal 9 2 2 8 2 4" xfId="21353" xr:uid="{FA9BFD67-FADA-4426-95EC-8C2F17DFC6D5}"/>
    <cellStyle name="Normal 9 2 2 8 3" xfId="6528" xr:uid="{00000000-0005-0000-0000-0000091F0000}"/>
    <cellStyle name="Normal 9 2 2 8 3 2" xfId="14978" xr:uid="{CFC7C626-FBDC-4180-8C51-16CEC45AA35B}"/>
    <cellStyle name="Normal 9 2 2 8 3 3" xfId="23425" xr:uid="{8BEEB007-8D3B-4491-AC47-D86C6FA42EE5}"/>
    <cellStyle name="Normal 9 2 2 8 4" xfId="10760" xr:uid="{7C7A5D99-84B4-468E-AEB5-E4BAD8B8591B}"/>
    <cellStyle name="Normal 9 2 2 8 5" xfId="19208" xr:uid="{E2F557D4-879B-489F-ABAC-722CA3F22E30}"/>
    <cellStyle name="Normal 9 2 2 9" xfId="2658" xr:uid="{00000000-0005-0000-0000-00000A1F0000}"/>
    <cellStyle name="Normal 9 2 2 9 2" xfId="6941" xr:uid="{00000000-0005-0000-0000-00000B1F0000}"/>
    <cellStyle name="Normal 9 2 2 9 2 2" xfId="15391" xr:uid="{1B1286ED-A37B-4AAE-89BD-BF06C51B5BDD}"/>
    <cellStyle name="Normal 9 2 2 9 2 3" xfId="23838" xr:uid="{B9869099-2F7C-40DA-AFE2-58BE05F565B0}"/>
    <cellStyle name="Normal 9 2 2 9 3" xfId="11173" xr:uid="{8F07FD0B-8122-4049-8D32-0E0D3121899F}"/>
    <cellStyle name="Normal 9 2 2 9 4" xfId="19621" xr:uid="{25D1C5A0-15C3-44D2-8946-941042505D81}"/>
    <cellStyle name="Normal 9 2 3" xfId="520" xr:uid="{00000000-0005-0000-0000-00000C1F0000}"/>
    <cellStyle name="Normal 9 2 3 10" xfId="9116" xr:uid="{ADAFE046-B9EF-4601-8DEA-A7BF889064CF}"/>
    <cellStyle name="Normal 9 2 3 11" xfId="17564" xr:uid="{792ADCCC-53D2-4AFB-8BC5-A3CEFE085D25}"/>
    <cellStyle name="Normal 9 2 3 2" xfId="521" xr:uid="{00000000-0005-0000-0000-00000D1F0000}"/>
    <cellStyle name="Normal 9 2 3 2 10" xfId="17565" xr:uid="{CBD681EF-79DD-4EB0-835E-B58A078A0812}"/>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2 2 2" xfId="15894" xr:uid="{F492FDC5-3BEC-4363-83FA-37B97D07792B}"/>
    <cellStyle name="Normal 9 2 3 2 2 2 2 2 3" xfId="24341" xr:uid="{2B059512-8F4B-489C-8E9B-66D06D4159BA}"/>
    <cellStyle name="Normal 9 2 3 2 2 2 2 3" xfId="11676" xr:uid="{D771B7CD-8D6F-44DF-8A05-8D5B22CD982D}"/>
    <cellStyle name="Normal 9 2 3 2 2 2 2 4" xfId="20124" xr:uid="{3E1C7926-E4FD-4500-854F-114928D6029B}"/>
    <cellStyle name="Normal 9 2 3 2 2 2 3" xfId="5299" xr:uid="{00000000-0005-0000-0000-0000121F0000}"/>
    <cellStyle name="Normal 9 2 3 2 2 2 3 2" xfId="13749" xr:uid="{C30BC5AE-1991-4739-99E9-741C61E2EDFD}"/>
    <cellStyle name="Normal 9 2 3 2 2 2 3 3" xfId="22196" xr:uid="{45EADF07-BD58-4373-9431-1D676F63DE86}"/>
    <cellStyle name="Normal 9 2 3 2 2 2 4" xfId="9531" xr:uid="{8EC31E28-0D43-42A8-8106-BB37D482F998}"/>
    <cellStyle name="Normal 9 2 3 2 2 2 5" xfId="17979" xr:uid="{B98D009A-6825-4EF3-88F1-456851AD0934}"/>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2 2 2" xfId="16307" xr:uid="{B580E8B0-8976-419D-B06B-62A152F5E9E5}"/>
    <cellStyle name="Normal 9 2 3 2 2 3 2 2 3" xfId="24754" xr:uid="{68FB92C7-973E-4935-9B91-EF883F17E4B0}"/>
    <cellStyle name="Normal 9 2 3 2 2 3 2 3" xfId="12089" xr:uid="{C41C4072-9854-434D-B3CE-F739D96095BF}"/>
    <cellStyle name="Normal 9 2 3 2 2 3 2 4" xfId="20537" xr:uid="{2CD038D4-03C3-4DD9-9D33-12D47AC3FC5D}"/>
    <cellStyle name="Normal 9 2 3 2 2 3 3" xfId="5712" xr:uid="{00000000-0005-0000-0000-0000161F0000}"/>
    <cellStyle name="Normal 9 2 3 2 2 3 3 2" xfId="14162" xr:uid="{7119A1FF-5328-400D-8872-1E6BD15C89FC}"/>
    <cellStyle name="Normal 9 2 3 2 2 3 3 3" xfId="22609" xr:uid="{35AC606B-B66E-4D18-A7E2-6B98FA7DE207}"/>
    <cellStyle name="Normal 9 2 3 2 2 3 4" xfId="9944" xr:uid="{30FF5FD1-B80D-4B02-B3D9-C5E07D6F59CD}"/>
    <cellStyle name="Normal 9 2 3 2 2 3 5" xfId="18392" xr:uid="{25BBDD04-FDA8-4C76-B1A1-32673713038C}"/>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2 2 2" xfId="16720" xr:uid="{79374FCB-BB26-49A4-BD74-5E0BD5A15D5A}"/>
    <cellStyle name="Normal 9 2 3 2 2 4 2 2 3" xfId="25167" xr:uid="{D3903A25-F431-4855-AB8B-603B8CD4289A}"/>
    <cellStyle name="Normal 9 2 3 2 2 4 2 3" xfId="12502" xr:uid="{98F67934-1C0C-4025-8524-610B3B39BABA}"/>
    <cellStyle name="Normal 9 2 3 2 2 4 2 4" xfId="20950" xr:uid="{C530EC5D-E180-4808-B57B-BBDA351B301E}"/>
    <cellStyle name="Normal 9 2 3 2 2 4 3" xfId="6125" xr:uid="{00000000-0005-0000-0000-00001A1F0000}"/>
    <cellStyle name="Normal 9 2 3 2 2 4 3 2" xfId="14575" xr:uid="{22354C29-B681-4780-87ED-546E739936ED}"/>
    <cellStyle name="Normal 9 2 3 2 2 4 3 3" xfId="23022" xr:uid="{E0E06BE5-4C17-45BD-98F9-C2F4F2E78E7D}"/>
    <cellStyle name="Normal 9 2 3 2 2 4 4" xfId="10357" xr:uid="{9BE897A4-E341-49F5-A790-BB0782F3DAB4}"/>
    <cellStyle name="Normal 9 2 3 2 2 4 5" xfId="18805" xr:uid="{4CEF0762-FAD6-4573-B19E-38DE72A1104E}"/>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2 2 2" xfId="17133" xr:uid="{A6833B81-886D-41FF-9E97-24FB1C20839A}"/>
    <cellStyle name="Normal 9 2 3 2 2 5 2 2 3" xfId="25580" xr:uid="{66C74E06-B150-4485-BDF3-49C5D6A5D1AB}"/>
    <cellStyle name="Normal 9 2 3 2 2 5 2 3" xfId="12915" xr:uid="{FC9AA34F-F866-46DC-8EE5-D95B991AB90E}"/>
    <cellStyle name="Normal 9 2 3 2 2 5 2 4" xfId="21363" xr:uid="{54848EF9-D75A-4FDB-8C6A-7129EACE76BC}"/>
    <cellStyle name="Normal 9 2 3 2 2 5 3" xfId="6538" xr:uid="{00000000-0005-0000-0000-00001E1F0000}"/>
    <cellStyle name="Normal 9 2 3 2 2 5 3 2" xfId="14988" xr:uid="{A5195345-709C-4D14-A887-41058920E47E}"/>
    <cellStyle name="Normal 9 2 3 2 2 5 3 3" xfId="23435" xr:uid="{8568C6A2-1488-4AD3-B4C1-D499016629A1}"/>
    <cellStyle name="Normal 9 2 3 2 2 5 4" xfId="10770" xr:uid="{18FE7C84-8B79-4F56-8324-DA29E65CC206}"/>
    <cellStyle name="Normal 9 2 3 2 2 5 5" xfId="19218" xr:uid="{6552A1B6-41C9-45FC-A995-C1AAF8AC90D5}"/>
    <cellStyle name="Normal 9 2 3 2 2 6" xfId="2668" xr:uid="{00000000-0005-0000-0000-00001F1F0000}"/>
    <cellStyle name="Normal 9 2 3 2 2 6 2" xfId="6951" xr:uid="{00000000-0005-0000-0000-0000201F0000}"/>
    <cellStyle name="Normal 9 2 3 2 2 6 2 2" xfId="15401" xr:uid="{E639F15E-C941-4253-9C40-2FC8728699B3}"/>
    <cellStyle name="Normal 9 2 3 2 2 6 2 3" xfId="23848" xr:uid="{FEC38193-A493-4C01-9A0C-006EC47C3A8B}"/>
    <cellStyle name="Normal 9 2 3 2 2 6 3" xfId="11183" xr:uid="{F8EC69B0-7A74-4423-B60C-E63A33388C46}"/>
    <cellStyle name="Normal 9 2 3 2 2 6 4" xfId="19631" xr:uid="{80429DCB-B3F1-4646-91BB-2DAE14B39695}"/>
    <cellStyle name="Normal 9 2 3 2 2 7" xfId="4886" xr:uid="{00000000-0005-0000-0000-0000211F0000}"/>
    <cellStyle name="Normal 9 2 3 2 2 7 2" xfId="13336" xr:uid="{AA00116F-44B4-4BB6-AD7B-6DA2D674BC4E}"/>
    <cellStyle name="Normal 9 2 3 2 2 7 3" xfId="21783" xr:uid="{45BF3ED7-3C8B-4E47-9045-484EC6D37E6C}"/>
    <cellStyle name="Normal 9 2 3 2 2 8" xfId="9118" xr:uid="{1AB48DF8-2EAC-4399-87B2-031621F79499}"/>
    <cellStyle name="Normal 9 2 3 2 2 9" xfId="17566" xr:uid="{0D2F1B6C-B135-45FC-B28A-DEEB4058E8F7}"/>
    <cellStyle name="Normal 9 2 3 2 3" xfId="988" xr:uid="{00000000-0005-0000-0000-0000221F0000}"/>
    <cellStyle name="Normal 9 2 3 2 3 2" xfId="3221" xr:uid="{00000000-0005-0000-0000-0000231F0000}"/>
    <cellStyle name="Normal 9 2 3 2 3 2 2" xfId="7443" xr:uid="{00000000-0005-0000-0000-0000241F0000}"/>
    <cellStyle name="Normal 9 2 3 2 3 2 2 2" xfId="15893" xr:uid="{6D4E54BD-C68B-4980-9B59-C68F4C8EA5B8}"/>
    <cellStyle name="Normal 9 2 3 2 3 2 2 3" xfId="24340" xr:uid="{9D304970-40E0-4A77-B0CA-6EA733DD2E64}"/>
    <cellStyle name="Normal 9 2 3 2 3 2 3" xfId="11675" xr:uid="{43C2CC5E-B73D-4E28-AA2F-4A050C360459}"/>
    <cellStyle name="Normal 9 2 3 2 3 2 4" xfId="20123" xr:uid="{56A56510-1170-4FEA-8740-530B79AF5302}"/>
    <cellStyle name="Normal 9 2 3 2 3 3" xfId="5298" xr:uid="{00000000-0005-0000-0000-0000251F0000}"/>
    <cellStyle name="Normal 9 2 3 2 3 3 2" xfId="13748" xr:uid="{FF334DD9-7122-4825-99E4-81D206BA5D37}"/>
    <cellStyle name="Normal 9 2 3 2 3 3 3" xfId="22195" xr:uid="{A5A8B4F3-1C69-4F7F-A8DE-AD94BCB0B662}"/>
    <cellStyle name="Normal 9 2 3 2 3 4" xfId="9530" xr:uid="{04DAADA6-7FDC-4956-AC38-1E71C1344F84}"/>
    <cellStyle name="Normal 9 2 3 2 3 5" xfId="17978" xr:uid="{A75FD773-729A-45C6-B9D8-07D08658ED7A}"/>
    <cellStyle name="Normal 9 2 3 2 4" xfId="1404" xr:uid="{00000000-0005-0000-0000-0000261F0000}"/>
    <cellStyle name="Normal 9 2 3 2 4 2" xfId="3634" xr:uid="{00000000-0005-0000-0000-0000271F0000}"/>
    <cellStyle name="Normal 9 2 3 2 4 2 2" xfId="7856" xr:uid="{00000000-0005-0000-0000-0000281F0000}"/>
    <cellStyle name="Normal 9 2 3 2 4 2 2 2" xfId="16306" xr:uid="{4CD0B8F4-E585-4B90-B41E-D5CC8194E3B9}"/>
    <cellStyle name="Normal 9 2 3 2 4 2 2 3" xfId="24753" xr:uid="{617B2C0C-8BEE-4F54-911F-04F2D1E950AF}"/>
    <cellStyle name="Normal 9 2 3 2 4 2 3" xfId="12088" xr:uid="{E9B7025B-B7C3-4CD3-A4EA-19703AD7CFE8}"/>
    <cellStyle name="Normal 9 2 3 2 4 2 4" xfId="20536" xr:uid="{D43A5F0A-00A3-4E3B-932D-26BDAFC50CF5}"/>
    <cellStyle name="Normal 9 2 3 2 4 3" xfId="5711" xr:uid="{00000000-0005-0000-0000-0000291F0000}"/>
    <cellStyle name="Normal 9 2 3 2 4 3 2" xfId="14161" xr:uid="{2394548C-A0E5-40CF-BA38-BE585D670762}"/>
    <cellStyle name="Normal 9 2 3 2 4 3 3" xfId="22608" xr:uid="{3D3E348C-34D5-40CD-AD40-F5B5D1D4F3DF}"/>
    <cellStyle name="Normal 9 2 3 2 4 4" xfId="9943" xr:uid="{D65A3F39-28B0-4025-AC3E-058B9E46EF8D}"/>
    <cellStyle name="Normal 9 2 3 2 4 5" xfId="18391" xr:uid="{03282D54-22EE-40C7-9EF1-8150C034F585}"/>
    <cellStyle name="Normal 9 2 3 2 5" xfId="1817" xr:uid="{00000000-0005-0000-0000-00002A1F0000}"/>
    <cellStyle name="Normal 9 2 3 2 5 2" xfId="4047" xr:uid="{00000000-0005-0000-0000-00002B1F0000}"/>
    <cellStyle name="Normal 9 2 3 2 5 2 2" xfId="8269" xr:uid="{00000000-0005-0000-0000-00002C1F0000}"/>
    <cellStyle name="Normal 9 2 3 2 5 2 2 2" xfId="16719" xr:uid="{F0F60F91-4A03-4852-A1C6-EBBAEF5B99CB}"/>
    <cellStyle name="Normal 9 2 3 2 5 2 2 3" xfId="25166" xr:uid="{AF7EE0C8-EA02-4FE1-923D-459FFDDDE49A}"/>
    <cellStyle name="Normal 9 2 3 2 5 2 3" xfId="12501" xr:uid="{313C5F85-C509-441E-9E8F-80490696BC98}"/>
    <cellStyle name="Normal 9 2 3 2 5 2 4" xfId="20949" xr:uid="{FA6B9C18-BAEA-4211-8D74-46BCBEB349E2}"/>
    <cellStyle name="Normal 9 2 3 2 5 3" xfId="6124" xr:uid="{00000000-0005-0000-0000-00002D1F0000}"/>
    <cellStyle name="Normal 9 2 3 2 5 3 2" xfId="14574" xr:uid="{2C185CF1-1B31-4255-A6E2-7547E9618042}"/>
    <cellStyle name="Normal 9 2 3 2 5 3 3" xfId="23021" xr:uid="{34683EE1-7F61-4195-803F-AC40F9F623A7}"/>
    <cellStyle name="Normal 9 2 3 2 5 4" xfId="10356" xr:uid="{6A19FACC-AF07-434B-8116-749295447501}"/>
    <cellStyle name="Normal 9 2 3 2 5 5" xfId="18804" xr:uid="{B0459749-E171-4BF6-9DD6-5C5F11373DA8}"/>
    <cellStyle name="Normal 9 2 3 2 6" xfId="2231" xr:uid="{00000000-0005-0000-0000-00002E1F0000}"/>
    <cellStyle name="Normal 9 2 3 2 6 2" xfId="4460" xr:uid="{00000000-0005-0000-0000-00002F1F0000}"/>
    <cellStyle name="Normal 9 2 3 2 6 2 2" xfId="8682" xr:uid="{00000000-0005-0000-0000-0000301F0000}"/>
    <cellStyle name="Normal 9 2 3 2 6 2 2 2" xfId="17132" xr:uid="{0F40A962-7551-4F97-AD94-D0600FFB2568}"/>
    <cellStyle name="Normal 9 2 3 2 6 2 2 3" xfId="25579" xr:uid="{1E1417A3-41C4-4EBF-9F6A-306146FA7867}"/>
    <cellStyle name="Normal 9 2 3 2 6 2 3" xfId="12914" xr:uid="{E1A457C4-3F4E-4F9F-ABE1-55C14EFA3C3B}"/>
    <cellStyle name="Normal 9 2 3 2 6 2 4" xfId="21362" xr:uid="{8EDEB0AB-8DC0-4FDD-877D-07C1A077907E}"/>
    <cellStyle name="Normal 9 2 3 2 6 3" xfId="6537" xr:uid="{00000000-0005-0000-0000-0000311F0000}"/>
    <cellStyle name="Normal 9 2 3 2 6 3 2" xfId="14987" xr:uid="{37840298-B41E-4967-9EC1-232C56C04BA2}"/>
    <cellStyle name="Normal 9 2 3 2 6 3 3" xfId="23434" xr:uid="{DE272B2F-6A0E-4C36-B599-9C39C50755FA}"/>
    <cellStyle name="Normal 9 2 3 2 6 4" xfId="10769" xr:uid="{BDD4758E-78ED-407E-9DA9-2B2F9501361A}"/>
    <cellStyle name="Normal 9 2 3 2 6 5" xfId="19217" xr:uid="{B70DD6E7-7571-4C37-A4AD-30C4C9331548}"/>
    <cellStyle name="Normal 9 2 3 2 7" xfId="2667" xr:uid="{00000000-0005-0000-0000-0000321F0000}"/>
    <cellStyle name="Normal 9 2 3 2 7 2" xfId="6950" xr:uid="{00000000-0005-0000-0000-0000331F0000}"/>
    <cellStyle name="Normal 9 2 3 2 7 2 2" xfId="15400" xr:uid="{52963F7D-CF04-41FD-A090-3D69E0299FE4}"/>
    <cellStyle name="Normal 9 2 3 2 7 2 3" xfId="23847" xr:uid="{A390A280-5FAB-460F-B1A8-5962AAFB0F96}"/>
    <cellStyle name="Normal 9 2 3 2 7 3" xfId="11182" xr:uid="{0D970DB4-FD3F-4527-BBA7-8449CD462361}"/>
    <cellStyle name="Normal 9 2 3 2 7 4" xfId="19630" xr:uid="{E8A609FF-CB28-4878-BFC9-067362C534EB}"/>
    <cellStyle name="Normal 9 2 3 2 8" xfId="4885" xr:uid="{00000000-0005-0000-0000-0000341F0000}"/>
    <cellStyle name="Normal 9 2 3 2 8 2" xfId="13335" xr:uid="{6D73182C-0408-404A-9BA3-BA2325E5BB29}"/>
    <cellStyle name="Normal 9 2 3 2 8 3" xfId="21782" xr:uid="{5B17889F-7B2E-4855-9DFF-7AF618B83EDD}"/>
    <cellStyle name="Normal 9 2 3 2 9" xfId="9117" xr:uid="{84593716-AC77-4555-80CB-52E71E449FD5}"/>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2 2 2" xfId="15895" xr:uid="{4AD90820-A7E9-4ECD-BADB-8E8E0315D1EB}"/>
    <cellStyle name="Normal 9 2 3 3 2 2 2 3" xfId="24342" xr:uid="{21DD050A-6F3F-4357-9522-D1D70881C5AA}"/>
    <cellStyle name="Normal 9 2 3 3 2 2 3" xfId="11677" xr:uid="{04AC1186-9AA6-407E-AB17-E9F3649BF2EC}"/>
    <cellStyle name="Normal 9 2 3 3 2 2 4" xfId="20125" xr:uid="{7DF48D4D-63A4-49BD-AF7A-4E82B4DE0D89}"/>
    <cellStyle name="Normal 9 2 3 3 2 3" xfId="5300" xr:uid="{00000000-0005-0000-0000-0000391F0000}"/>
    <cellStyle name="Normal 9 2 3 3 2 3 2" xfId="13750" xr:uid="{89B31484-67E3-4E40-9C46-9709F51A0883}"/>
    <cellStyle name="Normal 9 2 3 3 2 3 3" xfId="22197" xr:uid="{25E21E4C-C6E8-4E7F-B0BD-ED90584886AC}"/>
    <cellStyle name="Normal 9 2 3 3 2 4" xfId="9532" xr:uid="{3E160B89-1F08-46C5-9DFA-27B2E038AD89}"/>
    <cellStyle name="Normal 9 2 3 3 2 5" xfId="17980" xr:uid="{3E28F619-7DB2-4557-AFF8-A20D11CFBC1C}"/>
    <cellStyle name="Normal 9 2 3 3 3" xfId="1406" xr:uid="{00000000-0005-0000-0000-00003A1F0000}"/>
    <cellStyle name="Normal 9 2 3 3 3 2" xfId="3636" xr:uid="{00000000-0005-0000-0000-00003B1F0000}"/>
    <cellStyle name="Normal 9 2 3 3 3 2 2" xfId="7858" xr:uid="{00000000-0005-0000-0000-00003C1F0000}"/>
    <cellStyle name="Normal 9 2 3 3 3 2 2 2" xfId="16308" xr:uid="{EDBB57E4-E948-490B-9285-5EA28C32DE44}"/>
    <cellStyle name="Normal 9 2 3 3 3 2 2 3" xfId="24755" xr:uid="{E258F58C-D2B2-426E-8850-53C86816FC7D}"/>
    <cellStyle name="Normal 9 2 3 3 3 2 3" xfId="12090" xr:uid="{D9316A28-0141-4D1A-969A-0CA7E6FD4732}"/>
    <cellStyle name="Normal 9 2 3 3 3 2 4" xfId="20538" xr:uid="{36C1670F-98B2-4A5E-AF52-5C800E25AF29}"/>
    <cellStyle name="Normal 9 2 3 3 3 3" xfId="5713" xr:uid="{00000000-0005-0000-0000-00003D1F0000}"/>
    <cellStyle name="Normal 9 2 3 3 3 3 2" xfId="14163" xr:uid="{1BD35C7C-7979-41C2-B461-9934B2D9BDF8}"/>
    <cellStyle name="Normal 9 2 3 3 3 3 3" xfId="22610" xr:uid="{0A8E4D7A-5986-415B-B89F-2C82BC9FAD93}"/>
    <cellStyle name="Normal 9 2 3 3 3 4" xfId="9945" xr:uid="{FF21AEE3-5715-47C2-89B7-C7CD26621368}"/>
    <cellStyle name="Normal 9 2 3 3 3 5" xfId="18393" xr:uid="{156C5609-6400-47F8-BD52-AA93F35C0C7B}"/>
    <cellStyle name="Normal 9 2 3 3 4" xfId="1819" xr:uid="{00000000-0005-0000-0000-00003E1F0000}"/>
    <cellStyle name="Normal 9 2 3 3 4 2" xfId="4049" xr:uid="{00000000-0005-0000-0000-00003F1F0000}"/>
    <cellStyle name="Normal 9 2 3 3 4 2 2" xfId="8271" xr:uid="{00000000-0005-0000-0000-0000401F0000}"/>
    <cellStyle name="Normal 9 2 3 3 4 2 2 2" xfId="16721" xr:uid="{28F95667-C4C4-4EA5-AB5D-1D992864C30D}"/>
    <cellStyle name="Normal 9 2 3 3 4 2 2 3" xfId="25168" xr:uid="{12BE5603-4CDB-4927-9B8A-426B8A24A136}"/>
    <cellStyle name="Normal 9 2 3 3 4 2 3" xfId="12503" xr:uid="{D9680021-F3C1-4F0B-932B-8C4F307BE0CE}"/>
    <cellStyle name="Normal 9 2 3 3 4 2 4" xfId="20951" xr:uid="{BAD7084C-F3DC-410A-8CDF-4BCC87BD4A65}"/>
    <cellStyle name="Normal 9 2 3 3 4 3" xfId="6126" xr:uid="{00000000-0005-0000-0000-0000411F0000}"/>
    <cellStyle name="Normal 9 2 3 3 4 3 2" xfId="14576" xr:uid="{7E834377-1E9D-4967-B745-53B0F15CE0DE}"/>
    <cellStyle name="Normal 9 2 3 3 4 3 3" xfId="23023" xr:uid="{EFAB1329-F95B-4DBA-A4B1-D3359E838B1A}"/>
    <cellStyle name="Normal 9 2 3 3 4 4" xfId="10358" xr:uid="{FB0AC751-DB64-4DFB-9EDD-B0EACD666446}"/>
    <cellStyle name="Normal 9 2 3 3 4 5" xfId="18806" xr:uid="{94B6AD46-DA37-44F1-8391-4EA51FC0AD52}"/>
    <cellStyle name="Normal 9 2 3 3 5" xfId="2233" xr:uid="{00000000-0005-0000-0000-0000421F0000}"/>
    <cellStyle name="Normal 9 2 3 3 5 2" xfId="4462" xr:uid="{00000000-0005-0000-0000-0000431F0000}"/>
    <cellStyle name="Normal 9 2 3 3 5 2 2" xfId="8684" xr:uid="{00000000-0005-0000-0000-0000441F0000}"/>
    <cellStyle name="Normal 9 2 3 3 5 2 2 2" xfId="17134" xr:uid="{A2A45F69-0715-4A9E-8FE9-340FBCC8D906}"/>
    <cellStyle name="Normal 9 2 3 3 5 2 2 3" xfId="25581" xr:uid="{51C2E6BA-7CEA-4712-995D-EE9659C82CC5}"/>
    <cellStyle name="Normal 9 2 3 3 5 2 3" xfId="12916" xr:uid="{F3D8BDC1-12D7-4534-976F-616009A88501}"/>
    <cellStyle name="Normal 9 2 3 3 5 2 4" xfId="21364" xr:uid="{80BBE76B-D170-4AF3-9361-258FD418CC54}"/>
    <cellStyle name="Normal 9 2 3 3 5 3" xfId="6539" xr:uid="{00000000-0005-0000-0000-0000451F0000}"/>
    <cellStyle name="Normal 9 2 3 3 5 3 2" xfId="14989" xr:uid="{A565072C-DB16-4993-851D-CE45700F2BE7}"/>
    <cellStyle name="Normal 9 2 3 3 5 3 3" xfId="23436" xr:uid="{281AE7C9-17F5-4843-B069-0A066D4852F8}"/>
    <cellStyle name="Normal 9 2 3 3 5 4" xfId="10771" xr:uid="{FC4B5860-F55D-4E0D-B4FA-9DFF8FEE003D}"/>
    <cellStyle name="Normal 9 2 3 3 5 5" xfId="19219" xr:uid="{8E202B46-67DE-4BDE-BF12-8734BF9EAB23}"/>
    <cellStyle name="Normal 9 2 3 3 6" xfId="2669" xr:uid="{00000000-0005-0000-0000-0000461F0000}"/>
    <cellStyle name="Normal 9 2 3 3 6 2" xfId="6952" xr:uid="{00000000-0005-0000-0000-0000471F0000}"/>
    <cellStyle name="Normal 9 2 3 3 6 2 2" xfId="15402" xr:uid="{43015008-A357-4279-AEF8-C1393A1A3CFF}"/>
    <cellStyle name="Normal 9 2 3 3 6 2 3" xfId="23849" xr:uid="{DC57ED03-89D1-4977-AB49-AC937152EE1B}"/>
    <cellStyle name="Normal 9 2 3 3 6 3" xfId="11184" xr:uid="{F5E0C746-F288-4315-ADC8-82B6F5379523}"/>
    <cellStyle name="Normal 9 2 3 3 6 4" xfId="19632" xr:uid="{2A54C49C-468C-4A00-8DE7-4E87BC118391}"/>
    <cellStyle name="Normal 9 2 3 3 7" xfId="4887" xr:uid="{00000000-0005-0000-0000-0000481F0000}"/>
    <cellStyle name="Normal 9 2 3 3 7 2" xfId="13337" xr:uid="{3E3EFEF9-FF50-4609-A497-3390583EF8E3}"/>
    <cellStyle name="Normal 9 2 3 3 7 3" xfId="21784" xr:uid="{1F6A520C-2D64-4CF8-8A55-2134F9A48AB2}"/>
    <cellStyle name="Normal 9 2 3 3 8" xfId="9119" xr:uid="{600A7496-9493-4A20-AB98-859C774AC2B6}"/>
    <cellStyle name="Normal 9 2 3 3 9" xfId="17567" xr:uid="{A64A9430-4F16-414A-95E6-C5287322CE9F}"/>
    <cellStyle name="Normal 9 2 3 4" xfId="987" xr:uid="{00000000-0005-0000-0000-0000491F0000}"/>
    <cellStyle name="Normal 9 2 3 4 2" xfId="3220" xr:uid="{00000000-0005-0000-0000-00004A1F0000}"/>
    <cellStyle name="Normal 9 2 3 4 2 2" xfId="7442" xr:uid="{00000000-0005-0000-0000-00004B1F0000}"/>
    <cellStyle name="Normal 9 2 3 4 2 2 2" xfId="15892" xr:uid="{974DE8E5-71FC-4791-B1DD-4C0A8DD60A4F}"/>
    <cellStyle name="Normal 9 2 3 4 2 2 3" xfId="24339" xr:uid="{A44B47D0-BA64-4FE4-9A71-A5F5263D68C8}"/>
    <cellStyle name="Normal 9 2 3 4 2 3" xfId="11674" xr:uid="{7F1F83D7-4DEC-45A3-AD34-8DA297119048}"/>
    <cellStyle name="Normal 9 2 3 4 2 4" xfId="20122" xr:uid="{DF0B2F4B-1EEB-47D0-B943-9CA19B64334F}"/>
    <cellStyle name="Normal 9 2 3 4 3" xfId="5297" xr:uid="{00000000-0005-0000-0000-00004C1F0000}"/>
    <cellStyle name="Normal 9 2 3 4 3 2" xfId="13747" xr:uid="{E7BF3415-A0F7-425E-9D06-3D545DE053AF}"/>
    <cellStyle name="Normal 9 2 3 4 3 3" xfId="22194" xr:uid="{5BE10926-D2A4-4E00-80C5-73A4D1BD9B07}"/>
    <cellStyle name="Normal 9 2 3 4 4" xfId="9529" xr:uid="{3ABD640C-5AFF-4619-86BE-20B9F5A19796}"/>
    <cellStyle name="Normal 9 2 3 4 5" xfId="17977" xr:uid="{12C0D54C-49DC-409C-8C82-F159FDBE6E1F}"/>
    <cellStyle name="Normal 9 2 3 5" xfId="1403" xr:uid="{00000000-0005-0000-0000-00004D1F0000}"/>
    <cellStyle name="Normal 9 2 3 5 2" xfId="3633" xr:uid="{00000000-0005-0000-0000-00004E1F0000}"/>
    <cellStyle name="Normal 9 2 3 5 2 2" xfId="7855" xr:uid="{00000000-0005-0000-0000-00004F1F0000}"/>
    <cellStyle name="Normal 9 2 3 5 2 2 2" xfId="16305" xr:uid="{90687E78-4596-4942-B769-63D7C2A0A884}"/>
    <cellStyle name="Normal 9 2 3 5 2 2 3" xfId="24752" xr:uid="{4AFE4449-F1AC-4B01-BDB2-00A323077997}"/>
    <cellStyle name="Normal 9 2 3 5 2 3" xfId="12087" xr:uid="{EC100636-CB67-4D2A-8601-B476B7781215}"/>
    <cellStyle name="Normal 9 2 3 5 2 4" xfId="20535" xr:uid="{CA57BBC4-AFD6-4635-B034-337495A83946}"/>
    <cellStyle name="Normal 9 2 3 5 3" xfId="5710" xr:uid="{00000000-0005-0000-0000-0000501F0000}"/>
    <cellStyle name="Normal 9 2 3 5 3 2" xfId="14160" xr:uid="{5D946CAE-6143-49A2-8E5E-2F452E0192D9}"/>
    <cellStyle name="Normal 9 2 3 5 3 3" xfId="22607" xr:uid="{C4AC248E-14CE-4181-A395-4F6D7CDFAEBA}"/>
    <cellStyle name="Normal 9 2 3 5 4" xfId="9942" xr:uid="{5EEA7B5B-CD2B-40E7-8B9A-46C83FF638D3}"/>
    <cellStyle name="Normal 9 2 3 5 5" xfId="18390" xr:uid="{5CF7A1A8-2D27-4056-994A-E7B053D78FE2}"/>
    <cellStyle name="Normal 9 2 3 6" xfId="1816" xr:uid="{00000000-0005-0000-0000-0000511F0000}"/>
    <cellStyle name="Normal 9 2 3 6 2" xfId="4046" xr:uid="{00000000-0005-0000-0000-0000521F0000}"/>
    <cellStyle name="Normal 9 2 3 6 2 2" xfId="8268" xr:uid="{00000000-0005-0000-0000-0000531F0000}"/>
    <cellStyle name="Normal 9 2 3 6 2 2 2" xfId="16718" xr:uid="{CFD73BB4-2186-42E8-992B-32C70266260C}"/>
    <cellStyle name="Normal 9 2 3 6 2 2 3" xfId="25165" xr:uid="{ED17FA85-C662-4AC7-8DE5-D2F571FD06FB}"/>
    <cellStyle name="Normal 9 2 3 6 2 3" xfId="12500" xr:uid="{81E896E3-8086-4BCB-B863-0C597357DD0D}"/>
    <cellStyle name="Normal 9 2 3 6 2 4" xfId="20948" xr:uid="{E40006B7-8A40-45BA-99EF-487D030D73C1}"/>
    <cellStyle name="Normal 9 2 3 6 3" xfId="6123" xr:uid="{00000000-0005-0000-0000-0000541F0000}"/>
    <cellStyle name="Normal 9 2 3 6 3 2" xfId="14573" xr:uid="{23EFE22E-AE42-4E7E-9B38-39B44A5BDA0D}"/>
    <cellStyle name="Normal 9 2 3 6 3 3" xfId="23020" xr:uid="{00B129D2-BDB0-4C83-B39F-C208EB53599D}"/>
    <cellStyle name="Normal 9 2 3 6 4" xfId="10355" xr:uid="{2DFF6EBB-7CAA-4B1E-8EEB-89BD1FCB752C}"/>
    <cellStyle name="Normal 9 2 3 6 5" xfId="18803" xr:uid="{8763650E-7116-4C5D-9EFB-D19B3B0E1087}"/>
    <cellStyle name="Normal 9 2 3 7" xfId="2230" xr:uid="{00000000-0005-0000-0000-0000551F0000}"/>
    <cellStyle name="Normal 9 2 3 7 2" xfId="4459" xr:uid="{00000000-0005-0000-0000-0000561F0000}"/>
    <cellStyle name="Normal 9 2 3 7 2 2" xfId="8681" xr:uid="{00000000-0005-0000-0000-0000571F0000}"/>
    <cellStyle name="Normal 9 2 3 7 2 2 2" xfId="17131" xr:uid="{48CF076A-64DF-4D78-9F23-805183DD8104}"/>
    <cellStyle name="Normal 9 2 3 7 2 2 3" xfId="25578" xr:uid="{C34CA8DC-B0CD-4838-A18F-5C5BC2D23385}"/>
    <cellStyle name="Normal 9 2 3 7 2 3" xfId="12913" xr:uid="{A91A1EC8-E45D-4AC9-8BD3-9DAE89A2E981}"/>
    <cellStyle name="Normal 9 2 3 7 2 4" xfId="21361" xr:uid="{9DC9955F-F059-46F5-A855-AC86881BFC9A}"/>
    <cellStyle name="Normal 9 2 3 7 3" xfId="6536" xr:uid="{00000000-0005-0000-0000-0000581F0000}"/>
    <cellStyle name="Normal 9 2 3 7 3 2" xfId="14986" xr:uid="{8CD30C69-36EA-4ACC-B84E-478A0D78DB26}"/>
    <cellStyle name="Normal 9 2 3 7 3 3" xfId="23433" xr:uid="{AC4EE4AE-44F2-46AF-8806-BABEBEC19448}"/>
    <cellStyle name="Normal 9 2 3 7 4" xfId="10768" xr:uid="{6F31C787-CF94-41C8-A895-FFEF46062966}"/>
    <cellStyle name="Normal 9 2 3 7 5" xfId="19216" xr:uid="{07BE6FFE-83EB-4058-B4A6-37108442A016}"/>
    <cellStyle name="Normal 9 2 3 8" xfId="2666" xr:uid="{00000000-0005-0000-0000-0000591F0000}"/>
    <cellStyle name="Normal 9 2 3 8 2" xfId="6949" xr:uid="{00000000-0005-0000-0000-00005A1F0000}"/>
    <cellStyle name="Normal 9 2 3 8 2 2" xfId="15399" xr:uid="{1D0D7EC5-7E27-4048-A234-3B5E2A970294}"/>
    <cellStyle name="Normal 9 2 3 8 2 3" xfId="23846" xr:uid="{F5D9ACC1-C0D8-42A3-96D9-361AF08F604C}"/>
    <cellStyle name="Normal 9 2 3 8 3" xfId="11181" xr:uid="{2EA251F1-4F99-4F25-A7B4-2CE9B556E0DC}"/>
    <cellStyle name="Normal 9 2 3 8 4" xfId="19629" xr:uid="{F5EBF602-6C7A-4336-ACEC-BBB90107762C}"/>
    <cellStyle name="Normal 9 2 3 9" xfId="4884" xr:uid="{00000000-0005-0000-0000-00005B1F0000}"/>
    <cellStyle name="Normal 9 2 3 9 2" xfId="13334" xr:uid="{CC8F4D27-B748-44B2-8B78-C0C99165E056}"/>
    <cellStyle name="Normal 9 2 3 9 3" xfId="21781" xr:uid="{8E9594F5-CB7D-4E45-99CC-518A6BF8926B}"/>
    <cellStyle name="Normal 9 2 4" xfId="524" xr:uid="{00000000-0005-0000-0000-00005C1F0000}"/>
    <cellStyle name="Normal 9 2 4 10" xfId="17568" xr:uid="{7742C9EE-6B89-4354-BA0D-1B09BBE956CE}"/>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2 2 2" xfId="15897" xr:uid="{4F8C7428-BDC8-48DA-A75B-F045B59373FD}"/>
    <cellStyle name="Normal 9 2 4 2 2 2 2 3" xfId="24344" xr:uid="{68BACA6E-6F9C-496D-A457-2EAACA67213D}"/>
    <cellStyle name="Normal 9 2 4 2 2 2 3" xfId="11679" xr:uid="{3D0F042D-D764-4B1D-8B2F-19AF9774364E}"/>
    <cellStyle name="Normal 9 2 4 2 2 2 4" xfId="20127" xr:uid="{85098CD9-D6A2-4876-9DDC-C403E5779FF4}"/>
    <cellStyle name="Normal 9 2 4 2 2 3" xfId="5302" xr:uid="{00000000-0005-0000-0000-0000611F0000}"/>
    <cellStyle name="Normal 9 2 4 2 2 3 2" xfId="13752" xr:uid="{06493FB5-0262-405B-AB35-93E924471583}"/>
    <cellStyle name="Normal 9 2 4 2 2 3 3" xfId="22199" xr:uid="{46D4DFB8-D4E7-434B-B017-4347CBCDF424}"/>
    <cellStyle name="Normal 9 2 4 2 2 4" xfId="9534" xr:uid="{12D8CEE9-CEE3-446E-BFE3-8924A095207B}"/>
    <cellStyle name="Normal 9 2 4 2 2 5" xfId="17982" xr:uid="{39516987-7324-41BC-B473-88EBFF307DDA}"/>
    <cellStyle name="Normal 9 2 4 2 3" xfId="1408" xr:uid="{00000000-0005-0000-0000-0000621F0000}"/>
    <cellStyle name="Normal 9 2 4 2 3 2" xfId="3638" xr:uid="{00000000-0005-0000-0000-0000631F0000}"/>
    <cellStyle name="Normal 9 2 4 2 3 2 2" xfId="7860" xr:uid="{00000000-0005-0000-0000-0000641F0000}"/>
    <cellStyle name="Normal 9 2 4 2 3 2 2 2" xfId="16310" xr:uid="{C058BD4F-328F-4643-BACE-27D123A81C75}"/>
    <cellStyle name="Normal 9 2 4 2 3 2 2 3" xfId="24757" xr:uid="{90FC98EE-F5A3-4069-93A6-4400A7E72995}"/>
    <cellStyle name="Normal 9 2 4 2 3 2 3" xfId="12092" xr:uid="{E8034847-CE40-4DFC-AA46-41BCBA1D3366}"/>
    <cellStyle name="Normal 9 2 4 2 3 2 4" xfId="20540" xr:uid="{CD71E365-81E6-4326-908D-CA5BF7A4DB79}"/>
    <cellStyle name="Normal 9 2 4 2 3 3" xfId="5715" xr:uid="{00000000-0005-0000-0000-0000651F0000}"/>
    <cellStyle name="Normal 9 2 4 2 3 3 2" xfId="14165" xr:uid="{E99F0ED2-24E0-4617-A875-EE7C971C6C57}"/>
    <cellStyle name="Normal 9 2 4 2 3 3 3" xfId="22612" xr:uid="{04873DC0-303D-4A19-9FF6-748E9E937867}"/>
    <cellStyle name="Normal 9 2 4 2 3 4" xfId="9947" xr:uid="{6F0CDFC2-CCE2-4B60-91EE-6D7E3AB74375}"/>
    <cellStyle name="Normal 9 2 4 2 3 5" xfId="18395" xr:uid="{F75B71B1-C193-447E-9208-A7E9F008BF98}"/>
    <cellStyle name="Normal 9 2 4 2 4" xfId="1821" xr:uid="{00000000-0005-0000-0000-0000661F0000}"/>
    <cellStyle name="Normal 9 2 4 2 4 2" xfId="4051" xr:uid="{00000000-0005-0000-0000-0000671F0000}"/>
    <cellStyle name="Normal 9 2 4 2 4 2 2" xfId="8273" xr:uid="{00000000-0005-0000-0000-0000681F0000}"/>
    <cellStyle name="Normal 9 2 4 2 4 2 2 2" xfId="16723" xr:uid="{7403ACC1-9D0B-47D4-9019-C290E7465573}"/>
    <cellStyle name="Normal 9 2 4 2 4 2 2 3" xfId="25170" xr:uid="{6F3BDA9F-5F9D-4C4A-89D1-3DA9592C241C}"/>
    <cellStyle name="Normal 9 2 4 2 4 2 3" xfId="12505" xr:uid="{A20496F1-6C80-442B-89BD-A23C3CE1E92A}"/>
    <cellStyle name="Normal 9 2 4 2 4 2 4" xfId="20953" xr:uid="{7B575706-4C66-4199-88D5-31F06096172E}"/>
    <cellStyle name="Normal 9 2 4 2 4 3" xfId="6128" xr:uid="{00000000-0005-0000-0000-0000691F0000}"/>
    <cellStyle name="Normal 9 2 4 2 4 3 2" xfId="14578" xr:uid="{FF2F2C31-FB69-4F62-8DF3-71FF6B863EC4}"/>
    <cellStyle name="Normal 9 2 4 2 4 3 3" xfId="23025" xr:uid="{C0C3B493-1403-4244-A12B-D85EA65F9E33}"/>
    <cellStyle name="Normal 9 2 4 2 4 4" xfId="10360" xr:uid="{DBD0865D-24A6-45CB-A735-767291B8FFCC}"/>
    <cellStyle name="Normal 9 2 4 2 4 5" xfId="18808" xr:uid="{391CDD5B-D255-4F9B-8E28-BB34DF027D6F}"/>
    <cellStyle name="Normal 9 2 4 2 5" xfId="2235" xr:uid="{00000000-0005-0000-0000-00006A1F0000}"/>
    <cellStyle name="Normal 9 2 4 2 5 2" xfId="4464" xr:uid="{00000000-0005-0000-0000-00006B1F0000}"/>
    <cellStyle name="Normal 9 2 4 2 5 2 2" xfId="8686" xr:uid="{00000000-0005-0000-0000-00006C1F0000}"/>
    <cellStyle name="Normal 9 2 4 2 5 2 2 2" xfId="17136" xr:uid="{7819A631-DC59-4A4D-8FDF-D13E0ACA29CF}"/>
    <cellStyle name="Normal 9 2 4 2 5 2 2 3" xfId="25583" xr:uid="{640EEE6B-4520-4F0E-A751-96793391A833}"/>
    <cellStyle name="Normal 9 2 4 2 5 2 3" xfId="12918" xr:uid="{5F02CB8F-906E-4D1F-A7C5-2FAF79D50ADE}"/>
    <cellStyle name="Normal 9 2 4 2 5 2 4" xfId="21366" xr:uid="{FC642651-B618-49CE-A4C1-303601022D89}"/>
    <cellStyle name="Normal 9 2 4 2 5 3" xfId="6541" xr:uid="{00000000-0005-0000-0000-00006D1F0000}"/>
    <cellStyle name="Normal 9 2 4 2 5 3 2" xfId="14991" xr:uid="{0A6A411E-D4B3-4769-BD13-0F9202F7A23A}"/>
    <cellStyle name="Normal 9 2 4 2 5 3 3" xfId="23438" xr:uid="{697D3444-6835-4866-8E0E-A944E7E4E095}"/>
    <cellStyle name="Normal 9 2 4 2 5 4" xfId="10773" xr:uid="{A72AF7EA-E927-48E0-885F-C98B25C86E83}"/>
    <cellStyle name="Normal 9 2 4 2 5 5" xfId="19221" xr:uid="{C280CDBA-FF8B-4907-870F-1FE46093445B}"/>
    <cellStyle name="Normal 9 2 4 2 6" xfId="2671" xr:uid="{00000000-0005-0000-0000-00006E1F0000}"/>
    <cellStyle name="Normal 9 2 4 2 6 2" xfId="6954" xr:uid="{00000000-0005-0000-0000-00006F1F0000}"/>
    <cellStyle name="Normal 9 2 4 2 6 2 2" xfId="15404" xr:uid="{B2825FC1-0627-4A1A-B7E4-4E2E6C38376B}"/>
    <cellStyle name="Normal 9 2 4 2 6 2 3" xfId="23851" xr:uid="{DF1FBFA6-1083-41C0-876B-C8EC883BF3D9}"/>
    <cellStyle name="Normal 9 2 4 2 6 3" xfId="11186" xr:uid="{77BD76CE-1F3B-48E5-8A2E-7AFF6CBC4AB9}"/>
    <cellStyle name="Normal 9 2 4 2 6 4" xfId="19634" xr:uid="{04E11C76-75AC-4A33-898E-617721333D9C}"/>
    <cellStyle name="Normal 9 2 4 2 7" xfId="4889" xr:uid="{00000000-0005-0000-0000-0000701F0000}"/>
    <cellStyle name="Normal 9 2 4 2 7 2" xfId="13339" xr:uid="{0E6EB60F-91A6-45D6-BCDA-3AC6F231E628}"/>
    <cellStyle name="Normal 9 2 4 2 7 3" xfId="21786" xr:uid="{7D175E76-CF47-4A95-8025-1FE0425E92DF}"/>
    <cellStyle name="Normal 9 2 4 2 8" xfId="9121" xr:uid="{9E03234E-1C9E-43DA-912D-CA80C5E7E3EB}"/>
    <cellStyle name="Normal 9 2 4 2 9" xfId="17569" xr:uid="{81367836-412C-485D-BF5B-EDC495E4982A}"/>
    <cellStyle name="Normal 9 2 4 3" xfId="991" xr:uid="{00000000-0005-0000-0000-0000711F0000}"/>
    <cellStyle name="Normal 9 2 4 3 2" xfId="3224" xr:uid="{00000000-0005-0000-0000-0000721F0000}"/>
    <cellStyle name="Normal 9 2 4 3 2 2" xfId="7446" xr:uid="{00000000-0005-0000-0000-0000731F0000}"/>
    <cellStyle name="Normal 9 2 4 3 2 2 2" xfId="15896" xr:uid="{7B47C6D8-2C72-4FCA-855C-FB67AD848D58}"/>
    <cellStyle name="Normal 9 2 4 3 2 2 3" xfId="24343" xr:uid="{0BEFCBDC-223C-47F3-8389-7A86AF40EB24}"/>
    <cellStyle name="Normal 9 2 4 3 2 3" xfId="11678" xr:uid="{2F28983B-759C-4327-9A9D-644515BE0451}"/>
    <cellStyle name="Normal 9 2 4 3 2 4" xfId="20126" xr:uid="{4BAA60A0-A873-4B50-B244-22DE722E67D7}"/>
    <cellStyle name="Normal 9 2 4 3 3" xfId="5301" xr:uid="{00000000-0005-0000-0000-0000741F0000}"/>
    <cellStyle name="Normal 9 2 4 3 3 2" xfId="13751" xr:uid="{BF05A716-C00E-439E-8F05-D7C1D7146105}"/>
    <cellStyle name="Normal 9 2 4 3 3 3" xfId="22198" xr:uid="{EAAC9CB3-39D4-4B6F-92F3-F7A0C200B68B}"/>
    <cellStyle name="Normal 9 2 4 3 4" xfId="9533" xr:uid="{295D77A1-1C88-483E-AC68-72E68A9782A6}"/>
    <cellStyle name="Normal 9 2 4 3 5" xfId="17981" xr:uid="{09041A18-DED5-48D3-BD5E-B88BF64F76ED}"/>
    <cellStyle name="Normal 9 2 4 4" xfId="1407" xr:uid="{00000000-0005-0000-0000-0000751F0000}"/>
    <cellStyle name="Normal 9 2 4 4 2" xfId="3637" xr:uid="{00000000-0005-0000-0000-0000761F0000}"/>
    <cellStyle name="Normal 9 2 4 4 2 2" xfId="7859" xr:uid="{00000000-0005-0000-0000-0000771F0000}"/>
    <cellStyle name="Normal 9 2 4 4 2 2 2" xfId="16309" xr:uid="{4C1B99A5-97B4-4216-AD18-CCFD97CCAE62}"/>
    <cellStyle name="Normal 9 2 4 4 2 2 3" xfId="24756" xr:uid="{4FC07E82-7A2F-43FB-B1BC-1CFEA583B0BD}"/>
    <cellStyle name="Normal 9 2 4 4 2 3" xfId="12091" xr:uid="{3896B69B-CB02-45DF-A3B6-9652A6822E70}"/>
    <cellStyle name="Normal 9 2 4 4 2 4" xfId="20539" xr:uid="{B3C8C64B-1C63-4D62-895A-004278BF5826}"/>
    <cellStyle name="Normal 9 2 4 4 3" xfId="5714" xr:uid="{00000000-0005-0000-0000-0000781F0000}"/>
    <cellStyle name="Normal 9 2 4 4 3 2" xfId="14164" xr:uid="{70675A74-5321-4925-A7BF-591241ACD6C6}"/>
    <cellStyle name="Normal 9 2 4 4 3 3" xfId="22611" xr:uid="{FF316DAA-227D-49EA-ADC3-382C7FB036FF}"/>
    <cellStyle name="Normal 9 2 4 4 4" xfId="9946" xr:uid="{DD5ECEF2-C8D6-488D-85F8-5394AE276114}"/>
    <cellStyle name="Normal 9 2 4 4 5" xfId="18394" xr:uid="{7A500F5D-41DE-4BCD-B629-6C28E5AEA411}"/>
    <cellStyle name="Normal 9 2 4 5" xfId="1820" xr:uid="{00000000-0005-0000-0000-0000791F0000}"/>
    <cellStyle name="Normal 9 2 4 5 2" xfId="4050" xr:uid="{00000000-0005-0000-0000-00007A1F0000}"/>
    <cellStyle name="Normal 9 2 4 5 2 2" xfId="8272" xr:uid="{00000000-0005-0000-0000-00007B1F0000}"/>
    <cellStyle name="Normal 9 2 4 5 2 2 2" xfId="16722" xr:uid="{0169BA55-FD57-498A-8805-7C9386FB41EE}"/>
    <cellStyle name="Normal 9 2 4 5 2 2 3" xfId="25169" xr:uid="{A51B467B-D667-400D-8207-15DB27B6DF38}"/>
    <cellStyle name="Normal 9 2 4 5 2 3" xfId="12504" xr:uid="{10E96504-D202-4625-9A2F-E438A0AFDC4C}"/>
    <cellStyle name="Normal 9 2 4 5 2 4" xfId="20952" xr:uid="{D31F5850-9FB4-49DF-AB7F-CA1448F12105}"/>
    <cellStyle name="Normal 9 2 4 5 3" xfId="6127" xr:uid="{00000000-0005-0000-0000-00007C1F0000}"/>
    <cellStyle name="Normal 9 2 4 5 3 2" xfId="14577" xr:uid="{EC19B65E-2929-45F8-B8BA-0151E724EE2D}"/>
    <cellStyle name="Normal 9 2 4 5 3 3" xfId="23024" xr:uid="{895B90DF-5CFA-42A2-ABBF-8532DA18FBBC}"/>
    <cellStyle name="Normal 9 2 4 5 4" xfId="10359" xr:uid="{9DB5527B-9CB8-4CE7-BB18-C9A9A132124B}"/>
    <cellStyle name="Normal 9 2 4 5 5" xfId="18807" xr:uid="{9BF57E67-E2A8-4657-921E-FA66E95819A5}"/>
    <cellStyle name="Normal 9 2 4 6" xfId="2234" xr:uid="{00000000-0005-0000-0000-00007D1F0000}"/>
    <cellStyle name="Normal 9 2 4 6 2" xfId="4463" xr:uid="{00000000-0005-0000-0000-00007E1F0000}"/>
    <cellStyle name="Normal 9 2 4 6 2 2" xfId="8685" xr:uid="{00000000-0005-0000-0000-00007F1F0000}"/>
    <cellStyle name="Normal 9 2 4 6 2 2 2" xfId="17135" xr:uid="{F6EEEFD7-98E7-40E6-A8AD-F821F014B79D}"/>
    <cellStyle name="Normal 9 2 4 6 2 2 3" xfId="25582" xr:uid="{6F6C18BD-AF0C-471C-A447-DB6E089E1781}"/>
    <cellStyle name="Normal 9 2 4 6 2 3" xfId="12917" xr:uid="{1DBC05D4-43B4-4F37-9FEF-C78615A93707}"/>
    <cellStyle name="Normal 9 2 4 6 2 4" xfId="21365" xr:uid="{3F197345-B7E9-4A74-B36C-E3AF986DE3CF}"/>
    <cellStyle name="Normal 9 2 4 6 3" xfId="6540" xr:uid="{00000000-0005-0000-0000-0000801F0000}"/>
    <cellStyle name="Normal 9 2 4 6 3 2" xfId="14990" xr:uid="{1B387D98-7787-427A-9B7F-21F2D9CED8A2}"/>
    <cellStyle name="Normal 9 2 4 6 3 3" xfId="23437" xr:uid="{36242A78-9EC6-4600-8C36-E758CC95B85F}"/>
    <cellStyle name="Normal 9 2 4 6 4" xfId="10772" xr:uid="{7CA95C81-A854-4405-8C03-177658F99CB8}"/>
    <cellStyle name="Normal 9 2 4 6 5" xfId="19220" xr:uid="{7B68B062-10C5-4F39-AFCB-FFE4ED42BF4A}"/>
    <cellStyle name="Normal 9 2 4 7" xfId="2670" xr:uid="{00000000-0005-0000-0000-0000811F0000}"/>
    <cellStyle name="Normal 9 2 4 7 2" xfId="6953" xr:uid="{00000000-0005-0000-0000-0000821F0000}"/>
    <cellStyle name="Normal 9 2 4 7 2 2" xfId="15403" xr:uid="{B631EAA1-861A-492B-95E5-5DFB82737842}"/>
    <cellStyle name="Normal 9 2 4 7 2 3" xfId="23850" xr:uid="{B3AF6D3A-945D-47FF-9257-6B44E15D7D72}"/>
    <cellStyle name="Normal 9 2 4 7 3" xfId="11185" xr:uid="{453BDDAC-FA19-428E-B8E3-AE5CF609BF4D}"/>
    <cellStyle name="Normal 9 2 4 7 4" xfId="19633" xr:uid="{DEC786E3-A69E-419D-B7E9-4B94A1E5093B}"/>
    <cellStyle name="Normal 9 2 4 8" xfId="4888" xr:uid="{00000000-0005-0000-0000-0000831F0000}"/>
    <cellStyle name="Normal 9 2 4 8 2" xfId="13338" xr:uid="{9C88E9A4-F711-427F-9072-F1B347C53BC7}"/>
    <cellStyle name="Normal 9 2 4 8 3" xfId="21785" xr:uid="{B88439E1-F6B7-4957-805E-D527C4E338C4}"/>
    <cellStyle name="Normal 9 2 4 9" xfId="9120" xr:uid="{4CB104CE-579B-475A-85A8-45E6DF634E46}"/>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2 2 2" xfId="15898" xr:uid="{648D7147-F8B2-4088-88E4-A2B54E93FE7E}"/>
    <cellStyle name="Normal 9 2 5 2 2 2 3" xfId="24345" xr:uid="{7A2A3C1D-B999-415C-86AF-57F0353EA13E}"/>
    <cellStyle name="Normal 9 2 5 2 2 3" xfId="11680" xr:uid="{5A131BC0-8E92-4C1A-B1F3-07FF2E803598}"/>
    <cellStyle name="Normal 9 2 5 2 2 4" xfId="20128" xr:uid="{F987FC7A-993A-41F4-AFDD-E51C285DEE87}"/>
    <cellStyle name="Normal 9 2 5 2 3" xfId="5303" xr:uid="{00000000-0005-0000-0000-0000881F0000}"/>
    <cellStyle name="Normal 9 2 5 2 3 2" xfId="13753" xr:uid="{123251F9-9F85-4C0F-85A9-35413B214D71}"/>
    <cellStyle name="Normal 9 2 5 2 3 3" xfId="22200" xr:uid="{5167BF6E-4C97-4CF4-AF0E-3F0D15774789}"/>
    <cellStyle name="Normal 9 2 5 2 4" xfId="9535" xr:uid="{0A045E1C-AD51-476B-B0F8-D8D12C7C9198}"/>
    <cellStyle name="Normal 9 2 5 2 5" xfId="17983" xr:uid="{80539EE6-EABA-43A6-A0E6-AD7EE6C0B366}"/>
    <cellStyle name="Normal 9 2 5 3" xfId="1409" xr:uid="{00000000-0005-0000-0000-0000891F0000}"/>
    <cellStyle name="Normal 9 2 5 3 2" xfId="3639" xr:uid="{00000000-0005-0000-0000-00008A1F0000}"/>
    <cellStyle name="Normal 9 2 5 3 2 2" xfId="7861" xr:uid="{00000000-0005-0000-0000-00008B1F0000}"/>
    <cellStyle name="Normal 9 2 5 3 2 2 2" xfId="16311" xr:uid="{17FE7BFD-D16B-4104-8EF0-C45F1E8DAFF3}"/>
    <cellStyle name="Normal 9 2 5 3 2 2 3" xfId="24758" xr:uid="{4D90F500-9194-44B2-ABFE-58537F85F876}"/>
    <cellStyle name="Normal 9 2 5 3 2 3" xfId="12093" xr:uid="{D26BA4AF-0AC0-4972-849D-38D29664480B}"/>
    <cellStyle name="Normal 9 2 5 3 2 4" xfId="20541" xr:uid="{A3362C5D-01C6-4203-824B-EBA16427FACE}"/>
    <cellStyle name="Normal 9 2 5 3 3" xfId="5716" xr:uid="{00000000-0005-0000-0000-00008C1F0000}"/>
    <cellStyle name="Normal 9 2 5 3 3 2" xfId="14166" xr:uid="{5C6F7439-80F9-40A7-87B4-3B96F36C3D88}"/>
    <cellStyle name="Normal 9 2 5 3 3 3" xfId="22613" xr:uid="{B38AA43A-F9F2-4700-8B3E-A454C42E8B74}"/>
    <cellStyle name="Normal 9 2 5 3 4" xfId="9948" xr:uid="{A36A164B-825E-4222-8D9C-4E67335378BA}"/>
    <cellStyle name="Normal 9 2 5 3 5" xfId="18396" xr:uid="{D256C0FE-DB71-49EA-807F-1C9D36274CC3}"/>
    <cellStyle name="Normal 9 2 5 4" xfId="1822" xr:uid="{00000000-0005-0000-0000-00008D1F0000}"/>
    <cellStyle name="Normal 9 2 5 4 2" xfId="4052" xr:uid="{00000000-0005-0000-0000-00008E1F0000}"/>
    <cellStyle name="Normal 9 2 5 4 2 2" xfId="8274" xr:uid="{00000000-0005-0000-0000-00008F1F0000}"/>
    <cellStyle name="Normal 9 2 5 4 2 2 2" xfId="16724" xr:uid="{84F8DB53-5972-4AA5-9B7F-E82B46134CE6}"/>
    <cellStyle name="Normal 9 2 5 4 2 2 3" xfId="25171" xr:uid="{4ED57AE2-C208-4288-AB23-176D1F4ADA37}"/>
    <cellStyle name="Normal 9 2 5 4 2 3" xfId="12506" xr:uid="{9FA68EA6-FB9B-4A72-890E-6A7905690659}"/>
    <cellStyle name="Normal 9 2 5 4 2 4" xfId="20954" xr:uid="{42D8D533-2406-4C8E-BEA2-8B07764FA5E9}"/>
    <cellStyle name="Normal 9 2 5 4 3" xfId="6129" xr:uid="{00000000-0005-0000-0000-0000901F0000}"/>
    <cellStyle name="Normal 9 2 5 4 3 2" xfId="14579" xr:uid="{29FE791C-8B93-42FB-8F3F-894624C6BBD5}"/>
    <cellStyle name="Normal 9 2 5 4 3 3" xfId="23026" xr:uid="{C268473F-8D11-4555-AECB-A2624119653A}"/>
    <cellStyle name="Normal 9 2 5 4 4" xfId="10361" xr:uid="{1E07D9D9-6C4B-4771-84FE-D58B08F7C8C3}"/>
    <cellStyle name="Normal 9 2 5 4 5" xfId="18809" xr:uid="{FC42008B-C566-4643-A7AC-EDD2AE63CFD4}"/>
    <cellStyle name="Normal 9 2 5 5" xfId="2236" xr:uid="{00000000-0005-0000-0000-0000911F0000}"/>
    <cellStyle name="Normal 9 2 5 5 2" xfId="4465" xr:uid="{00000000-0005-0000-0000-0000921F0000}"/>
    <cellStyle name="Normal 9 2 5 5 2 2" xfId="8687" xr:uid="{00000000-0005-0000-0000-0000931F0000}"/>
    <cellStyle name="Normal 9 2 5 5 2 2 2" xfId="17137" xr:uid="{D9EFAF6A-BC26-407E-962D-DEBE8A71106C}"/>
    <cellStyle name="Normal 9 2 5 5 2 2 3" xfId="25584" xr:uid="{CAF88E44-3464-45A8-8D02-89C047921EC2}"/>
    <cellStyle name="Normal 9 2 5 5 2 3" xfId="12919" xr:uid="{A182EF04-DFB8-470B-9FF3-570AF824DEA6}"/>
    <cellStyle name="Normal 9 2 5 5 2 4" xfId="21367" xr:uid="{284523E0-1014-43D1-8844-E2362CE625F9}"/>
    <cellStyle name="Normal 9 2 5 5 3" xfId="6542" xr:uid="{00000000-0005-0000-0000-0000941F0000}"/>
    <cellStyle name="Normal 9 2 5 5 3 2" xfId="14992" xr:uid="{7CCDDE17-278D-46C7-842C-D1858F9633F6}"/>
    <cellStyle name="Normal 9 2 5 5 3 3" xfId="23439" xr:uid="{9EA237BD-9C51-4718-BA1A-E435A60217FF}"/>
    <cellStyle name="Normal 9 2 5 5 4" xfId="10774" xr:uid="{9812B6DF-3015-45C8-9869-5F1B3582D7B0}"/>
    <cellStyle name="Normal 9 2 5 5 5" xfId="19222" xr:uid="{1FBFE7F3-29B4-4372-BA6B-2B03163514D8}"/>
    <cellStyle name="Normal 9 2 5 6" xfId="2672" xr:uid="{00000000-0005-0000-0000-0000951F0000}"/>
    <cellStyle name="Normal 9 2 5 6 2" xfId="6955" xr:uid="{00000000-0005-0000-0000-0000961F0000}"/>
    <cellStyle name="Normal 9 2 5 6 2 2" xfId="15405" xr:uid="{69B0E06A-0E97-43A7-B2A5-A9A6DC9CAA37}"/>
    <cellStyle name="Normal 9 2 5 6 2 3" xfId="23852" xr:uid="{F48A7BC5-5611-4F2A-A54D-9272676F78B0}"/>
    <cellStyle name="Normal 9 2 5 6 3" xfId="11187" xr:uid="{1A82AFCF-E5EA-435C-A0BB-294554FB1684}"/>
    <cellStyle name="Normal 9 2 5 6 4" xfId="19635" xr:uid="{7C990519-F02A-402B-A241-F5022554546A}"/>
    <cellStyle name="Normal 9 2 5 7" xfId="4890" xr:uid="{00000000-0005-0000-0000-0000971F0000}"/>
    <cellStyle name="Normal 9 2 5 7 2" xfId="13340" xr:uid="{6D32F691-B47F-4DEB-B2D6-25797A04D02C}"/>
    <cellStyle name="Normal 9 2 5 7 3" xfId="21787" xr:uid="{DAECA5E4-CB52-4305-87CB-262F4DA4F463}"/>
    <cellStyle name="Normal 9 2 5 8" xfId="9122" xr:uid="{632BACD0-9166-4847-95C4-9CFD87076AED}"/>
    <cellStyle name="Normal 9 2 5 9" xfId="17570" xr:uid="{66713B65-B7FA-4E78-AF54-B57E0E630374}"/>
    <cellStyle name="Normal 9 2 6" xfId="978" xr:uid="{00000000-0005-0000-0000-0000981F0000}"/>
    <cellStyle name="Normal 9 2 6 2" xfId="3211" xr:uid="{00000000-0005-0000-0000-0000991F0000}"/>
    <cellStyle name="Normal 9 2 6 2 2" xfId="7433" xr:uid="{00000000-0005-0000-0000-00009A1F0000}"/>
    <cellStyle name="Normal 9 2 6 2 2 2" xfId="15883" xr:uid="{EB9988D7-32C2-4095-80E8-DD9BEAADCF90}"/>
    <cellStyle name="Normal 9 2 6 2 2 3" xfId="24330" xr:uid="{98BD8EB0-BCC3-4C06-B2A4-5600FED11351}"/>
    <cellStyle name="Normal 9 2 6 2 3" xfId="11665" xr:uid="{649B3D37-DDAB-4572-B8B7-B8DA24C8DF7C}"/>
    <cellStyle name="Normal 9 2 6 2 4" xfId="20113" xr:uid="{8CB89684-777E-42C4-96BD-436BE9CBC5C5}"/>
    <cellStyle name="Normal 9 2 6 3" xfId="5288" xr:uid="{00000000-0005-0000-0000-00009B1F0000}"/>
    <cellStyle name="Normal 9 2 6 3 2" xfId="13738" xr:uid="{389DDF07-C91F-4552-B01E-754834ECA5C9}"/>
    <cellStyle name="Normal 9 2 6 3 3" xfId="22185" xr:uid="{9E4CBC50-C471-453A-AF22-4B4AEE50800D}"/>
    <cellStyle name="Normal 9 2 6 4" xfId="9520" xr:uid="{34F8AC60-D08A-4348-89A6-F276FEB5AA5C}"/>
    <cellStyle name="Normal 9 2 6 5" xfId="17968" xr:uid="{71A16299-453B-43DB-B913-D9B3436EBAD1}"/>
    <cellStyle name="Normal 9 2 7" xfId="1394" xr:uid="{00000000-0005-0000-0000-00009C1F0000}"/>
    <cellStyle name="Normal 9 2 7 2" xfId="3624" xr:uid="{00000000-0005-0000-0000-00009D1F0000}"/>
    <cellStyle name="Normal 9 2 7 2 2" xfId="7846" xr:uid="{00000000-0005-0000-0000-00009E1F0000}"/>
    <cellStyle name="Normal 9 2 7 2 2 2" xfId="16296" xr:uid="{29B243B0-2C52-4275-A085-7513A7E7C83C}"/>
    <cellStyle name="Normal 9 2 7 2 2 3" xfId="24743" xr:uid="{5199D2A6-5F27-492F-BD97-59E3CFC1715E}"/>
    <cellStyle name="Normal 9 2 7 2 3" xfId="12078" xr:uid="{4EAECFAD-07EA-4BA3-A4C7-08E5364CA332}"/>
    <cellStyle name="Normal 9 2 7 2 4" xfId="20526" xr:uid="{F31DE99F-BD79-41A9-924F-C2E70A2F7F9B}"/>
    <cellStyle name="Normal 9 2 7 3" xfId="5701" xr:uid="{00000000-0005-0000-0000-00009F1F0000}"/>
    <cellStyle name="Normal 9 2 7 3 2" xfId="14151" xr:uid="{B7292DCC-2396-4249-9064-2701C6DB8DA3}"/>
    <cellStyle name="Normal 9 2 7 3 3" xfId="22598" xr:uid="{45D682C7-A014-4E8B-81EF-8EC194AB0628}"/>
    <cellStyle name="Normal 9 2 7 4" xfId="9933" xr:uid="{54C21A9E-C27F-41C2-914B-5E77D2FEBDAD}"/>
    <cellStyle name="Normal 9 2 7 5" xfId="18381" xr:uid="{5DBED9C7-EA0E-49A9-89F2-6D3825A732E2}"/>
    <cellStyle name="Normal 9 2 8" xfId="1807" xr:uid="{00000000-0005-0000-0000-0000A01F0000}"/>
    <cellStyle name="Normal 9 2 8 2" xfId="4037" xr:uid="{00000000-0005-0000-0000-0000A11F0000}"/>
    <cellStyle name="Normal 9 2 8 2 2" xfId="8259" xr:uid="{00000000-0005-0000-0000-0000A21F0000}"/>
    <cellStyle name="Normal 9 2 8 2 2 2" xfId="16709" xr:uid="{32C51343-BF35-46B3-AD89-DDD566CF17C7}"/>
    <cellStyle name="Normal 9 2 8 2 2 3" xfId="25156" xr:uid="{A095562E-C574-4C9F-A077-F8771FDCD858}"/>
    <cellStyle name="Normal 9 2 8 2 3" xfId="12491" xr:uid="{540E08AF-C017-4A20-A9D1-26DD3A7FB58D}"/>
    <cellStyle name="Normal 9 2 8 2 4" xfId="20939" xr:uid="{56960DF2-C5D6-4E54-B893-DAAE36367D4F}"/>
    <cellStyle name="Normal 9 2 8 3" xfId="6114" xr:uid="{00000000-0005-0000-0000-0000A31F0000}"/>
    <cellStyle name="Normal 9 2 8 3 2" xfId="14564" xr:uid="{C5B548AD-4047-40B9-9849-AAA6111D01A1}"/>
    <cellStyle name="Normal 9 2 8 3 3" xfId="23011" xr:uid="{7FA39417-F951-4242-AE9F-90493B25F6C4}"/>
    <cellStyle name="Normal 9 2 8 4" xfId="10346" xr:uid="{47C266BF-9E8E-46C8-B096-2056162309A7}"/>
    <cellStyle name="Normal 9 2 8 5" xfId="18794" xr:uid="{68208A51-80ED-4640-B310-98F99533FF89}"/>
    <cellStyle name="Normal 9 2 9" xfId="2221" xr:uid="{00000000-0005-0000-0000-0000A41F0000}"/>
    <cellStyle name="Normal 9 2 9 2" xfId="4450" xr:uid="{00000000-0005-0000-0000-0000A51F0000}"/>
    <cellStyle name="Normal 9 2 9 2 2" xfId="8672" xr:uid="{00000000-0005-0000-0000-0000A61F0000}"/>
    <cellStyle name="Normal 9 2 9 2 2 2" xfId="17122" xr:uid="{D21F227C-D22F-4380-83E8-2274B8A3F7AE}"/>
    <cellStyle name="Normal 9 2 9 2 2 3" xfId="25569" xr:uid="{4497C85D-7342-4E54-87F7-67C54B1934F0}"/>
    <cellStyle name="Normal 9 2 9 2 3" xfId="12904" xr:uid="{8BA2579A-DC6B-4DFA-B592-415E8F75E245}"/>
    <cellStyle name="Normal 9 2 9 2 4" xfId="21352" xr:uid="{0640921C-88BD-4290-A2E1-BD0C872B5738}"/>
    <cellStyle name="Normal 9 2 9 3" xfId="6527" xr:uid="{00000000-0005-0000-0000-0000A71F0000}"/>
    <cellStyle name="Normal 9 2 9 3 2" xfId="14977" xr:uid="{0F293874-C9D5-401C-B98C-9CAE8596A771}"/>
    <cellStyle name="Normal 9 2 9 3 3" xfId="23424" xr:uid="{7BE2469C-9A45-4F24-87A0-71917710E1B5}"/>
    <cellStyle name="Normal 9 2 9 4" xfId="10759" xr:uid="{9419C268-B33A-4FAF-B0FF-FDC772E1CDF6}"/>
    <cellStyle name="Normal 9 2 9 5" xfId="19207" xr:uid="{CE0A424B-9B6E-4D3B-9E0E-09302AF81997}"/>
    <cellStyle name="Normal 9 3" xfId="527" xr:uid="{00000000-0005-0000-0000-0000A81F0000}"/>
    <cellStyle name="Normal 9 3 10" xfId="4891" xr:uid="{00000000-0005-0000-0000-0000A91F0000}"/>
    <cellStyle name="Normal 9 3 10 2" xfId="13341" xr:uid="{F492C25D-9DE7-4F29-910C-67BAFB861194}"/>
    <cellStyle name="Normal 9 3 10 3" xfId="21788" xr:uid="{4D0394EB-FFCF-4820-A372-5C70181247FF}"/>
    <cellStyle name="Normal 9 3 11" xfId="9123" xr:uid="{940C042F-A234-4513-9B5D-DE223DA7EEDB}"/>
    <cellStyle name="Normal 9 3 12" xfId="17571" xr:uid="{2A38BC70-7BE5-437D-A49F-23C3322AF053}"/>
    <cellStyle name="Normal 9 3 2" xfId="528" xr:uid="{00000000-0005-0000-0000-0000AA1F0000}"/>
    <cellStyle name="Normal 9 3 2 10" xfId="9124" xr:uid="{2A6D1DDC-FD29-42AA-BD0E-4E22F9FCF5D4}"/>
    <cellStyle name="Normal 9 3 2 11" xfId="17572" xr:uid="{D206038F-2C98-4DFC-92D1-608C1B13C886}"/>
    <cellStyle name="Normal 9 3 2 2" xfId="529" xr:uid="{00000000-0005-0000-0000-0000AB1F0000}"/>
    <cellStyle name="Normal 9 3 2 2 10" xfId="17573" xr:uid="{DB50E522-C5FD-4464-93F2-BB3F7F7A6A7A}"/>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2 2 2" xfId="15902" xr:uid="{BD472470-7EC2-4A90-B4C8-28D545F5C2ED}"/>
    <cellStyle name="Normal 9 3 2 2 2 2 2 2 3" xfId="24349" xr:uid="{98591FD6-08E5-49B3-946D-FB063BB3BD8C}"/>
    <cellStyle name="Normal 9 3 2 2 2 2 2 3" xfId="11684" xr:uid="{F8605668-3F20-43EB-9593-CA144C471B69}"/>
    <cellStyle name="Normal 9 3 2 2 2 2 2 4" xfId="20132" xr:uid="{24E34081-1390-4194-BEC5-AD445F193BA4}"/>
    <cellStyle name="Normal 9 3 2 2 2 2 3" xfId="5307" xr:uid="{00000000-0005-0000-0000-0000B01F0000}"/>
    <cellStyle name="Normal 9 3 2 2 2 2 3 2" xfId="13757" xr:uid="{89B95269-55E2-43B1-BB31-CF24EC8570BA}"/>
    <cellStyle name="Normal 9 3 2 2 2 2 3 3" xfId="22204" xr:uid="{2C84890E-F4CC-4F6F-974A-7D27858DB5D6}"/>
    <cellStyle name="Normal 9 3 2 2 2 2 4" xfId="9539" xr:uid="{0E34067D-7531-49D4-B5A7-9540144B04C2}"/>
    <cellStyle name="Normal 9 3 2 2 2 2 5" xfId="17987" xr:uid="{D112BC24-D31F-4E00-8BC4-59D66E130CC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2 2 2" xfId="16315" xr:uid="{0D34DC05-174C-4568-B61F-D0F895C8DD4D}"/>
    <cellStyle name="Normal 9 3 2 2 2 3 2 2 3" xfId="24762" xr:uid="{EAB70B71-B878-4917-99B5-E416A7E0A59A}"/>
    <cellStyle name="Normal 9 3 2 2 2 3 2 3" xfId="12097" xr:uid="{A1DF95B4-A952-43DE-ACB6-CD9C1F362056}"/>
    <cellStyle name="Normal 9 3 2 2 2 3 2 4" xfId="20545" xr:uid="{73329841-6159-4482-932F-081F34323D0D}"/>
    <cellStyle name="Normal 9 3 2 2 2 3 3" xfId="5720" xr:uid="{00000000-0005-0000-0000-0000B41F0000}"/>
    <cellStyle name="Normal 9 3 2 2 2 3 3 2" xfId="14170" xr:uid="{68EDA75A-3187-4844-A9BB-290511F0F448}"/>
    <cellStyle name="Normal 9 3 2 2 2 3 3 3" xfId="22617" xr:uid="{139AE9A7-63B5-4D98-AB31-5D2CAF530F6C}"/>
    <cellStyle name="Normal 9 3 2 2 2 3 4" xfId="9952" xr:uid="{D03DB54D-DDCA-4051-95D8-7BA5743EA867}"/>
    <cellStyle name="Normal 9 3 2 2 2 3 5" xfId="18400" xr:uid="{03E64797-ACC2-45C4-A2A5-7508A79CE4D2}"/>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2 2 2" xfId="16728" xr:uid="{44881C14-D707-41B4-8AD7-7CC558886EE9}"/>
    <cellStyle name="Normal 9 3 2 2 2 4 2 2 3" xfId="25175" xr:uid="{1653E579-E2A0-4C6B-B082-1FAFD03FD530}"/>
    <cellStyle name="Normal 9 3 2 2 2 4 2 3" xfId="12510" xr:uid="{C1B75B46-621F-4059-BF59-54495A78F112}"/>
    <cellStyle name="Normal 9 3 2 2 2 4 2 4" xfId="20958" xr:uid="{B830CD8F-A4BF-424A-B9FB-6E630FD54B88}"/>
    <cellStyle name="Normal 9 3 2 2 2 4 3" xfId="6133" xr:uid="{00000000-0005-0000-0000-0000B81F0000}"/>
    <cellStyle name="Normal 9 3 2 2 2 4 3 2" xfId="14583" xr:uid="{B0283683-F773-4B29-B0D0-DB681EBB3A05}"/>
    <cellStyle name="Normal 9 3 2 2 2 4 3 3" xfId="23030" xr:uid="{F344E637-31DE-4CBF-9CBD-6A4EFABD8276}"/>
    <cellStyle name="Normal 9 3 2 2 2 4 4" xfId="10365" xr:uid="{CBEDFFF2-91ED-45F8-98A5-D815AC1AECDF}"/>
    <cellStyle name="Normal 9 3 2 2 2 4 5" xfId="18813" xr:uid="{32D03CBC-8709-420E-9A0C-4EC7BA9A62D7}"/>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2 2 2" xfId="17141" xr:uid="{E63DDD07-CAC5-4224-84B2-60D4E484E4C4}"/>
    <cellStyle name="Normal 9 3 2 2 2 5 2 2 3" xfId="25588" xr:uid="{A6167348-49C2-4E61-B0D7-3A8C7011A3BB}"/>
    <cellStyle name="Normal 9 3 2 2 2 5 2 3" xfId="12923" xr:uid="{D2911714-662B-4B31-BB50-82138CD67DCA}"/>
    <cellStyle name="Normal 9 3 2 2 2 5 2 4" xfId="21371" xr:uid="{0D36ABF3-DAA4-4674-ADA6-CA29CE802F9D}"/>
    <cellStyle name="Normal 9 3 2 2 2 5 3" xfId="6546" xr:uid="{00000000-0005-0000-0000-0000BC1F0000}"/>
    <cellStyle name="Normal 9 3 2 2 2 5 3 2" xfId="14996" xr:uid="{D93DD483-3390-4930-AA98-08F36F53B7AB}"/>
    <cellStyle name="Normal 9 3 2 2 2 5 3 3" xfId="23443" xr:uid="{D729B557-0E35-497F-856E-676EECE00E63}"/>
    <cellStyle name="Normal 9 3 2 2 2 5 4" xfId="10778" xr:uid="{F3DD0810-DCF0-43C5-BFA0-52472DDBFBA8}"/>
    <cellStyle name="Normal 9 3 2 2 2 5 5" xfId="19226" xr:uid="{C988599D-5B22-403F-8913-64E9057F47DE}"/>
    <cellStyle name="Normal 9 3 2 2 2 6" xfId="2676" xr:uid="{00000000-0005-0000-0000-0000BD1F0000}"/>
    <cellStyle name="Normal 9 3 2 2 2 6 2" xfId="6959" xr:uid="{00000000-0005-0000-0000-0000BE1F0000}"/>
    <cellStyle name="Normal 9 3 2 2 2 6 2 2" xfId="15409" xr:uid="{FC65A388-05EF-42AA-A506-420F428E4564}"/>
    <cellStyle name="Normal 9 3 2 2 2 6 2 3" xfId="23856" xr:uid="{7354E89D-1949-45C7-A414-2C97F8C1FE59}"/>
    <cellStyle name="Normal 9 3 2 2 2 6 3" xfId="11191" xr:uid="{621B7485-B3EF-480E-9A30-76E9B86E561E}"/>
    <cellStyle name="Normal 9 3 2 2 2 6 4" xfId="19639" xr:uid="{9BE78FF5-0216-4DCF-B08F-764983F26571}"/>
    <cellStyle name="Normal 9 3 2 2 2 7" xfId="4894" xr:uid="{00000000-0005-0000-0000-0000BF1F0000}"/>
    <cellStyle name="Normal 9 3 2 2 2 7 2" xfId="13344" xr:uid="{A32414B1-836F-498D-951C-7DF408065807}"/>
    <cellStyle name="Normal 9 3 2 2 2 7 3" xfId="21791" xr:uid="{4467E3E6-75AA-4DC2-B342-64BCFC73F2F3}"/>
    <cellStyle name="Normal 9 3 2 2 2 8" xfId="9126" xr:uid="{A4AE9C42-0B07-414C-956D-2CBC64AF8D48}"/>
    <cellStyle name="Normal 9 3 2 2 2 9" xfId="17574" xr:uid="{2079CD20-15AF-4677-BF83-59738BC4E3D4}"/>
    <cellStyle name="Normal 9 3 2 2 3" xfId="996" xr:uid="{00000000-0005-0000-0000-0000C01F0000}"/>
    <cellStyle name="Normal 9 3 2 2 3 2" xfId="3229" xr:uid="{00000000-0005-0000-0000-0000C11F0000}"/>
    <cellStyle name="Normal 9 3 2 2 3 2 2" xfId="7451" xr:uid="{00000000-0005-0000-0000-0000C21F0000}"/>
    <cellStyle name="Normal 9 3 2 2 3 2 2 2" xfId="15901" xr:uid="{096073C6-078A-4431-8FA3-AAEAE539EE69}"/>
    <cellStyle name="Normal 9 3 2 2 3 2 2 3" xfId="24348" xr:uid="{14588040-46F7-40E6-820C-C97AE8960F43}"/>
    <cellStyle name="Normal 9 3 2 2 3 2 3" xfId="11683" xr:uid="{170D6984-487E-4434-8C40-2F094F2D2611}"/>
    <cellStyle name="Normal 9 3 2 2 3 2 4" xfId="20131" xr:uid="{255A29D9-8CF6-40ED-8266-1F31209479CA}"/>
    <cellStyle name="Normal 9 3 2 2 3 3" xfId="5306" xr:uid="{00000000-0005-0000-0000-0000C31F0000}"/>
    <cellStyle name="Normal 9 3 2 2 3 3 2" xfId="13756" xr:uid="{7954E2B3-115C-482C-BF1C-F04CB6324DA9}"/>
    <cellStyle name="Normal 9 3 2 2 3 3 3" xfId="22203" xr:uid="{2A1BCE94-F63D-47F3-9487-DBC1CA057B70}"/>
    <cellStyle name="Normal 9 3 2 2 3 4" xfId="9538" xr:uid="{DCC05052-6C9F-43E9-B7FD-600A835D6567}"/>
    <cellStyle name="Normal 9 3 2 2 3 5" xfId="17986" xr:uid="{F11C3A5A-5187-492F-874F-1174F5CE3944}"/>
    <cellStyle name="Normal 9 3 2 2 4" xfId="1412" xr:uid="{00000000-0005-0000-0000-0000C41F0000}"/>
    <cellStyle name="Normal 9 3 2 2 4 2" xfId="3642" xr:uid="{00000000-0005-0000-0000-0000C51F0000}"/>
    <cellStyle name="Normal 9 3 2 2 4 2 2" xfId="7864" xr:uid="{00000000-0005-0000-0000-0000C61F0000}"/>
    <cellStyle name="Normal 9 3 2 2 4 2 2 2" xfId="16314" xr:uid="{DFE154E3-9D9F-4128-835C-57C0E1749D2A}"/>
    <cellStyle name="Normal 9 3 2 2 4 2 2 3" xfId="24761" xr:uid="{3D1A7157-80DF-4454-8A85-A9B1572007B6}"/>
    <cellStyle name="Normal 9 3 2 2 4 2 3" xfId="12096" xr:uid="{FD38D026-A79C-4334-88F8-99C85B6E53DC}"/>
    <cellStyle name="Normal 9 3 2 2 4 2 4" xfId="20544" xr:uid="{CE7842FF-3C0F-442C-AA2E-729025D6FAD5}"/>
    <cellStyle name="Normal 9 3 2 2 4 3" xfId="5719" xr:uid="{00000000-0005-0000-0000-0000C71F0000}"/>
    <cellStyle name="Normal 9 3 2 2 4 3 2" xfId="14169" xr:uid="{1EB89B00-EDD4-4F56-95C7-A97D06563A50}"/>
    <cellStyle name="Normal 9 3 2 2 4 3 3" xfId="22616" xr:uid="{7DC70AD8-04EF-417D-802E-ABACC6B752A0}"/>
    <cellStyle name="Normal 9 3 2 2 4 4" xfId="9951" xr:uid="{6116F7B2-7DFF-40CF-8CEB-E6CEC7D66E85}"/>
    <cellStyle name="Normal 9 3 2 2 4 5" xfId="18399" xr:uid="{4E11569F-0160-4955-8053-E84CAD1D13B6}"/>
    <cellStyle name="Normal 9 3 2 2 5" xfId="1825" xr:uid="{00000000-0005-0000-0000-0000C81F0000}"/>
    <cellStyle name="Normal 9 3 2 2 5 2" xfId="4055" xr:uid="{00000000-0005-0000-0000-0000C91F0000}"/>
    <cellStyle name="Normal 9 3 2 2 5 2 2" xfId="8277" xr:uid="{00000000-0005-0000-0000-0000CA1F0000}"/>
    <cellStyle name="Normal 9 3 2 2 5 2 2 2" xfId="16727" xr:uid="{04476C59-F837-4ED2-B2CB-0ED4B1B8AD63}"/>
    <cellStyle name="Normal 9 3 2 2 5 2 2 3" xfId="25174" xr:uid="{5930AF35-626B-4FB1-B555-6D3931BC3F00}"/>
    <cellStyle name="Normal 9 3 2 2 5 2 3" xfId="12509" xr:uid="{285FD7CE-4EE6-492A-BFD3-63EC4666C33D}"/>
    <cellStyle name="Normal 9 3 2 2 5 2 4" xfId="20957" xr:uid="{75B604DB-C5B3-4BF7-B743-CF10964CF00F}"/>
    <cellStyle name="Normal 9 3 2 2 5 3" xfId="6132" xr:uid="{00000000-0005-0000-0000-0000CB1F0000}"/>
    <cellStyle name="Normal 9 3 2 2 5 3 2" xfId="14582" xr:uid="{F5A0AFED-9BC6-4E8C-AB14-85C2F90D82E9}"/>
    <cellStyle name="Normal 9 3 2 2 5 3 3" xfId="23029" xr:uid="{3311D3B9-64BA-45D9-8E41-0A639CA54FCB}"/>
    <cellStyle name="Normal 9 3 2 2 5 4" xfId="10364" xr:uid="{A60ADB90-4367-4CDF-90FA-B99810F969FD}"/>
    <cellStyle name="Normal 9 3 2 2 5 5" xfId="18812" xr:uid="{E51AFD04-E5A5-416D-BA83-70B4F38AAA67}"/>
    <cellStyle name="Normal 9 3 2 2 6" xfId="2239" xr:uid="{00000000-0005-0000-0000-0000CC1F0000}"/>
    <cellStyle name="Normal 9 3 2 2 6 2" xfId="4468" xr:uid="{00000000-0005-0000-0000-0000CD1F0000}"/>
    <cellStyle name="Normal 9 3 2 2 6 2 2" xfId="8690" xr:uid="{00000000-0005-0000-0000-0000CE1F0000}"/>
    <cellStyle name="Normal 9 3 2 2 6 2 2 2" xfId="17140" xr:uid="{F415BE5B-735E-4884-BC77-E365F40A8443}"/>
    <cellStyle name="Normal 9 3 2 2 6 2 2 3" xfId="25587" xr:uid="{0D2C9C1A-08AA-4244-85EC-FB315A3893D9}"/>
    <cellStyle name="Normal 9 3 2 2 6 2 3" xfId="12922" xr:uid="{9974AAA9-7451-4258-813D-B44FABD62237}"/>
    <cellStyle name="Normal 9 3 2 2 6 2 4" xfId="21370" xr:uid="{3AD740FB-3B74-4530-83F5-3C7CAC828F4C}"/>
    <cellStyle name="Normal 9 3 2 2 6 3" xfId="6545" xr:uid="{00000000-0005-0000-0000-0000CF1F0000}"/>
    <cellStyle name="Normal 9 3 2 2 6 3 2" xfId="14995" xr:uid="{F1B40D1F-B805-43BD-A3AB-D6233C8EFCFE}"/>
    <cellStyle name="Normal 9 3 2 2 6 3 3" xfId="23442" xr:uid="{B5FC24B2-88DF-4717-A54E-9F56551BE9DE}"/>
    <cellStyle name="Normal 9 3 2 2 6 4" xfId="10777" xr:uid="{CF21577F-76DF-4B0C-B009-3B5E6ED613DA}"/>
    <cellStyle name="Normal 9 3 2 2 6 5" xfId="19225" xr:uid="{B5A60A3E-2ADE-4072-BA53-AAADF302FBEC}"/>
    <cellStyle name="Normal 9 3 2 2 7" xfId="2675" xr:uid="{00000000-0005-0000-0000-0000D01F0000}"/>
    <cellStyle name="Normal 9 3 2 2 7 2" xfId="6958" xr:uid="{00000000-0005-0000-0000-0000D11F0000}"/>
    <cellStyle name="Normal 9 3 2 2 7 2 2" xfId="15408" xr:uid="{718085C5-08F9-4DFF-A1C2-8D89B92DCD9D}"/>
    <cellStyle name="Normal 9 3 2 2 7 2 3" xfId="23855" xr:uid="{8645A1EC-E104-4B17-8BCA-40886FBB55C3}"/>
    <cellStyle name="Normal 9 3 2 2 7 3" xfId="11190" xr:uid="{77824AE5-24D7-4BEA-8A33-27852FC1848E}"/>
    <cellStyle name="Normal 9 3 2 2 7 4" xfId="19638" xr:uid="{E8F2371D-F55D-43AF-ABD3-7C677FBA066B}"/>
    <cellStyle name="Normal 9 3 2 2 8" xfId="4893" xr:uid="{00000000-0005-0000-0000-0000D21F0000}"/>
    <cellStyle name="Normal 9 3 2 2 8 2" xfId="13343" xr:uid="{20C1950B-86FA-40CB-80B4-4AAC5ED7C02A}"/>
    <cellStyle name="Normal 9 3 2 2 8 3" xfId="21790" xr:uid="{AC40E245-82E4-40C8-92BF-02449233DBC6}"/>
    <cellStyle name="Normal 9 3 2 2 9" xfId="9125" xr:uid="{B5EF4B86-EE07-4592-83A1-6E58382D2EDD}"/>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2 2 2" xfId="15903" xr:uid="{8C8BE665-4B24-4BE2-B11C-FAB799455EE7}"/>
    <cellStyle name="Normal 9 3 2 3 2 2 2 3" xfId="24350" xr:uid="{930A0AD6-F20B-467A-8C8B-FAF327A9A49D}"/>
    <cellStyle name="Normal 9 3 2 3 2 2 3" xfId="11685" xr:uid="{1945F378-388B-46BA-9C68-3AE5FE015002}"/>
    <cellStyle name="Normal 9 3 2 3 2 2 4" xfId="20133" xr:uid="{892D8852-2213-4072-A3E2-8662BDFB1458}"/>
    <cellStyle name="Normal 9 3 2 3 2 3" xfId="5308" xr:uid="{00000000-0005-0000-0000-0000D71F0000}"/>
    <cellStyle name="Normal 9 3 2 3 2 3 2" xfId="13758" xr:uid="{FEDC576D-8E47-48F5-B23F-E033768F1D0D}"/>
    <cellStyle name="Normal 9 3 2 3 2 3 3" xfId="22205" xr:uid="{C87D7D2A-88AA-4028-B508-711435566914}"/>
    <cellStyle name="Normal 9 3 2 3 2 4" xfId="9540" xr:uid="{23FC1522-D619-4326-AF9C-59D691F12D2F}"/>
    <cellStyle name="Normal 9 3 2 3 2 5" xfId="17988" xr:uid="{7D8513E5-0B81-4ADE-9EDC-355D8CF08B44}"/>
    <cellStyle name="Normal 9 3 2 3 3" xfId="1414" xr:uid="{00000000-0005-0000-0000-0000D81F0000}"/>
    <cellStyle name="Normal 9 3 2 3 3 2" xfId="3644" xr:uid="{00000000-0005-0000-0000-0000D91F0000}"/>
    <cellStyle name="Normal 9 3 2 3 3 2 2" xfId="7866" xr:uid="{00000000-0005-0000-0000-0000DA1F0000}"/>
    <cellStyle name="Normal 9 3 2 3 3 2 2 2" xfId="16316" xr:uid="{E9E19440-4424-4E1A-A117-73EAF1A83D4B}"/>
    <cellStyle name="Normal 9 3 2 3 3 2 2 3" xfId="24763" xr:uid="{93CDFCC0-DA3E-4868-AF5D-BB84EFABC372}"/>
    <cellStyle name="Normal 9 3 2 3 3 2 3" xfId="12098" xr:uid="{E77C417D-B994-4324-A13D-DA7055F5A863}"/>
    <cellStyle name="Normal 9 3 2 3 3 2 4" xfId="20546" xr:uid="{693DB146-16F6-4D21-971E-E66409A9EA65}"/>
    <cellStyle name="Normal 9 3 2 3 3 3" xfId="5721" xr:uid="{00000000-0005-0000-0000-0000DB1F0000}"/>
    <cellStyle name="Normal 9 3 2 3 3 3 2" xfId="14171" xr:uid="{C37B813A-AF73-45D1-9E25-519BA432FB04}"/>
    <cellStyle name="Normal 9 3 2 3 3 3 3" xfId="22618" xr:uid="{FED63F29-1906-49F6-AD48-A36BE74A7E4D}"/>
    <cellStyle name="Normal 9 3 2 3 3 4" xfId="9953" xr:uid="{4CC4DCF7-4E77-4DAD-9905-C5B4A2F54266}"/>
    <cellStyle name="Normal 9 3 2 3 3 5" xfId="18401" xr:uid="{CEC5C237-5B8B-473E-86E0-961467DC28C8}"/>
    <cellStyle name="Normal 9 3 2 3 4" xfId="1827" xr:uid="{00000000-0005-0000-0000-0000DC1F0000}"/>
    <cellStyle name="Normal 9 3 2 3 4 2" xfId="4057" xr:uid="{00000000-0005-0000-0000-0000DD1F0000}"/>
    <cellStyle name="Normal 9 3 2 3 4 2 2" xfId="8279" xr:uid="{00000000-0005-0000-0000-0000DE1F0000}"/>
    <cellStyle name="Normal 9 3 2 3 4 2 2 2" xfId="16729" xr:uid="{7B000D02-D9EB-4785-92FE-7FC123312ECA}"/>
    <cellStyle name="Normal 9 3 2 3 4 2 2 3" xfId="25176" xr:uid="{ABD6E764-BF6E-4789-934B-1B4BC27FD4C6}"/>
    <cellStyle name="Normal 9 3 2 3 4 2 3" xfId="12511" xr:uid="{CE623347-08FB-49B3-AAFD-9A279EF6B95C}"/>
    <cellStyle name="Normal 9 3 2 3 4 2 4" xfId="20959" xr:uid="{6892DFAA-7B0D-4298-8F72-362CE999CEDA}"/>
    <cellStyle name="Normal 9 3 2 3 4 3" xfId="6134" xr:uid="{00000000-0005-0000-0000-0000DF1F0000}"/>
    <cellStyle name="Normal 9 3 2 3 4 3 2" xfId="14584" xr:uid="{D2F9F134-5CB6-4F05-A392-9A6823BC6051}"/>
    <cellStyle name="Normal 9 3 2 3 4 3 3" xfId="23031" xr:uid="{024A284E-578C-46B5-9547-9F6A20B60F43}"/>
    <cellStyle name="Normal 9 3 2 3 4 4" xfId="10366" xr:uid="{16D83EF5-9282-4185-925B-96034504A2A5}"/>
    <cellStyle name="Normal 9 3 2 3 4 5" xfId="18814" xr:uid="{BB5F923B-10F3-4E48-925E-A24E91675C73}"/>
    <cellStyle name="Normal 9 3 2 3 5" xfId="2241" xr:uid="{00000000-0005-0000-0000-0000E01F0000}"/>
    <cellStyle name="Normal 9 3 2 3 5 2" xfId="4470" xr:uid="{00000000-0005-0000-0000-0000E11F0000}"/>
    <cellStyle name="Normal 9 3 2 3 5 2 2" xfId="8692" xr:uid="{00000000-0005-0000-0000-0000E21F0000}"/>
    <cellStyle name="Normal 9 3 2 3 5 2 2 2" xfId="17142" xr:uid="{AA90922F-EF0B-4951-B08D-AFC8C72FBB91}"/>
    <cellStyle name="Normal 9 3 2 3 5 2 2 3" xfId="25589" xr:uid="{F6A02FD9-A117-4149-ABCE-6F4F39CEF28C}"/>
    <cellStyle name="Normal 9 3 2 3 5 2 3" xfId="12924" xr:uid="{0DC41239-929E-4C50-8B00-00913163FD41}"/>
    <cellStyle name="Normal 9 3 2 3 5 2 4" xfId="21372" xr:uid="{69D3A4BA-32C2-4776-83E6-8BCF7EB0D51B}"/>
    <cellStyle name="Normal 9 3 2 3 5 3" xfId="6547" xr:uid="{00000000-0005-0000-0000-0000E31F0000}"/>
    <cellStyle name="Normal 9 3 2 3 5 3 2" xfId="14997" xr:uid="{FE8E34DC-F7C9-4814-8668-4C7B3BEE5A63}"/>
    <cellStyle name="Normal 9 3 2 3 5 3 3" xfId="23444" xr:uid="{9555AD76-90CD-4EA7-9868-86FD6E7B2FB8}"/>
    <cellStyle name="Normal 9 3 2 3 5 4" xfId="10779" xr:uid="{2019C945-E333-4113-AA0B-85DF243F453F}"/>
    <cellStyle name="Normal 9 3 2 3 5 5" xfId="19227" xr:uid="{C317D90B-FD66-44DB-BD0D-1E453A65F671}"/>
    <cellStyle name="Normal 9 3 2 3 6" xfId="2677" xr:uid="{00000000-0005-0000-0000-0000E41F0000}"/>
    <cellStyle name="Normal 9 3 2 3 6 2" xfId="6960" xr:uid="{00000000-0005-0000-0000-0000E51F0000}"/>
    <cellStyle name="Normal 9 3 2 3 6 2 2" xfId="15410" xr:uid="{F0978A02-0AF2-4D90-A6F3-FDD011367E90}"/>
    <cellStyle name="Normal 9 3 2 3 6 2 3" xfId="23857" xr:uid="{933BCA23-F49D-4D43-88E8-D5FA90566177}"/>
    <cellStyle name="Normal 9 3 2 3 6 3" xfId="11192" xr:uid="{2EF435B6-553F-4984-A818-04977FD431B3}"/>
    <cellStyle name="Normal 9 3 2 3 6 4" xfId="19640" xr:uid="{98AEF664-3E7E-49A3-89AA-637AFFAF4C46}"/>
    <cellStyle name="Normal 9 3 2 3 7" xfId="4895" xr:uid="{00000000-0005-0000-0000-0000E61F0000}"/>
    <cellStyle name="Normal 9 3 2 3 7 2" xfId="13345" xr:uid="{9EEB1AF9-7875-4EBA-957F-12F420700A09}"/>
    <cellStyle name="Normal 9 3 2 3 7 3" xfId="21792" xr:uid="{467AD060-5562-4F0A-A9B3-F57673FFD8C4}"/>
    <cellStyle name="Normal 9 3 2 3 8" xfId="9127" xr:uid="{C1351158-BDB8-4132-9B01-A1CC54E0AA58}"/>
    <cellStyle name="Normal 9 3 2 3 9" xfId="17575" xr:uid="{3F4C32EE-0CE8-4BAD-B91E-9252F8A86876}"/>
    <cellStyle name="Normal 9 3 2 4" xfId="995" xr:uid="{00000000-0005-0000-0000-0000E71F0000}"/>
    <cellStyle name="Normal 9 3 2 4 2" xfId="3228" xr:uid="{00000000-0005-0000-0000-0000E81F0000}"/>
    <cellStyle name="Normal 9 3 2 4 2 2" xfId="7450" xr:uid="{00000000-0005-0000-0000-0000E91F0000}"/>
    <cellStyle name="Normal 9 3 2 4 2 2 2" xfId="15900" xr:uid="{EA5BBA17-C8D6-48E6-A940-FC9ED29F9E5B}"/>
    <cellStyle name="Normal 9 3 2 4 2 2 3" xfId="24347" xr:uid="{C9B48B3A-D073-45D4-A667-8B6808AE5CE7}"/>
    <cellStyle name="Normal 9 3 2 4 2 3" xfId="11682" xr:uid="{E614536A-A24A-4477-8369-612AE1AE2F2C}"/>
    <cellStyle name="Normal 9 3 2 4 2 4" xfId="20130" xr:uid="{DA161F75-62C2-454C-857D-324D20B4B9AB}"/>
    <cellStyle name="Normal 9 3 2 4 3" xfId="5305" xr:uid="{00000000-0005-0000-0000-0000EA1F0000}"/>
    <cellStyle name="Normal 9 3 2 4 3 2" xfId="13755" xr:uid="{A507F4C8-B8D7-418C-A102-7C758CD34E93}"/>
    <cellStyle name="Normal 9 3 2 4 3 3" xfId="22202" xr:uid="{FB316E44-C0E3-4517-A544-A9C8305E8635}"/>
    <cellStyle name="Normal 9 3 2 4 4" xfId="9537" xr:uid="{CE8AA13D-F295-4E22-BCC8-FC22EDB3BCB4}"/>
    <cellStyle name="Normal 9 3 2 4 5" xfId="17985" xr:uid="{8CACF35D-03D2-48F4-9F70-89B3B46411AD}"/>
    <cellStyle name="Normal 9 3 2 5" xfId="1411" xr:uid="{00000000-0005-0000-0000-0000EB1F0000}"/>
    <cellStyle name="Normal 9 3 2 5 2" xfId="3641" xr:uid="{00000000-0005-0000-0000-0000EC1F0000}"/>
    <cellStyle name="Normal 9 3 2 5 2 2" xfId="7863" xr:uid="{00000000-0005-0000-0000-0000ED1F0000}"/>
    <cellStyle name="Normal 9 3 2 5 2 2 2" xfId="16313" xr:uid="{2A637001-42A0-4CB0-8C04-63630136F80F}"/>
    <cellStyle name="Normal 9 3 2 5 2 2 3" xfId="24760" xr:uid="{208BDA63-708F-464D-8CCA-070574FF31FD}"/>
    <cellStyle name="Normal 9 3 2 5 2 3" xfId="12095" xr:uid="{08F69D05-FB91-4079-8E56-C84D043921AF}"/>
    <cellStyle name="Normal 9 3 2 5 2 4" xfId="20543" xr:uid="{30ECC94E-A2DB-4012-8AEF-C2D7A8E64447}"/>
    <cellStyle name="Normal 9 3 2 5 3" xfId="5718" xr:uid="{00000000-0005-0000-0000-0000EE1F0000}"/>
    <cellStyle name="Normal 9 3 2 5 3 2" xfId="14168" xr:uid="{57B1E130-FAEA-404D-B0B3-0FBC4FAD824B}"/>
    <cellStyle name="Normal 9 3 2 5 3 3" xfId="22615" xr:uid="{01078D05-E75D-4A33-809C-7BCCB861C6E0}"/>
    <cellStyle name="Normal 9 3 2 5 4" xfId="9950" xr:uid="{F4059E60-4E7B-4E70-BFE4-25931A3473F1}"/>
    <cellStyle name="Normal 9 3 2 5 5" xfId="18398" xr:uid="{A35020E2-2DAF-41E7-AEFD-CD4D4C8FA43A}"/>
    <cellStyle name="Normal 9 3 2 6" xfId="1824" xr:uid="{00000000-0005-0000-0000-0000EF1F0000}"/>
    <cellStyle name="Normal 9 3 2 6 2" xfId="4054" xr:uid="{00000000-0005-0000-0000-0000F01F0000}"/>
    <cellStyle name="Normal 9 3 2 6 2 2" xfId="8276" xr:uid="{00000000-0005-0000-0000-0000F11F0000}"/>
    <cellStyle name="Normal 9 3 2 6 2 2 2" xfId="16726" xr:uid="{A834DCA0-E27D-40DA-B087-5CD6D317AC97}"/>
    <cellStyle name="Normal 9 3 2 6 2 2 3" xfId="25173" xr:uid="{AF8C2FD1-AE7F-488D-85C3-8773DAB876EA}"/>
    <cellStyle name="Normal 9 3 2 6 2 3" xfId="12508" xr:uid="{1A8C2D41-289D-4BCC-8FC7-AA666EC11523}"/>
    <cellStyle name="Normal 9 3 2 6 2 4" xfId="20956" xr:uid="{9943FEBB-29BC-44FC-8F3A-56D35B3DFB2B}"/>
    <cellStyle name="Normal 9 3 2 6 3" xfId="6131" xr:uid="{00000000-0005-0000-0000-0000F21F0000}"/>
    <cellStyle name="Normal 9 3 2 6 3 2" xfId="14581" xr:uid="{1C699B9E-D797-473E-9955-EC1600DEF195}"/>
    <cellStyle name="Normal 9 3 2 6 3 3" xfId="23028" xr:uid="{235E130E-7764-45C1-BBA8-2ACA54341329}"/>
    <cellStyle name="Normal 9 3 2 6 4" xfId="10363" xr:uid="{FDA5762D-B940-4B87-8E23-69B5DCC450E2}"/>
    <cellStyle name="Normal 9 3 2 6 5" xfId="18811" xr:uid="{4B3E54BA-CAE7-4222-BC83-E3C3636C9BF7}"/>
    <cellStyle name="Normal 9 3 2 7" xfId="2238" xr:uid="{00000000-0005-0000-0000-0000F31F0000}"/>
    <cellStyle name="Normal 9 3 2 7 2" xfId="4467" xr:uid="{00000000-0005-0000-0000-0000F41F0000}"/>
    <cellStyle name="Normal 9 3 2 7 2 2" xfId="8689" xr:uid="{00000000-0005-0000-0000-0000F51F0000}"/>
    <cellStyle name="Normal 9 3 2 7 2 2 2" xfId="17139" xr:uid="{BB3AA3DF-5D8A-4877-A6C9-150DC112B0F6}"/>
    <cellStyle name="Normal 9 3 2 7 2 2 3" xfId="25586" xr:uid="{1B63488A-0EEF-4460-82CD-7A2BAA7A73B6}"/>
    <cellStyle name="Normal 9 3 2 7 2 3" xfId="12921" xr:uid="{5A6EEC44-05D1-4327-93FE-AD518E7E7C75}"/>
    <cellStyle name="Normal 9 3 2 7 2 4" xfId="21369" xr:uid="{098B44CC-B413-4FC7-9ECA-8B2D12C5E8DB}"/>
    <cellStyle name="Normal 9 3 2 7 3" xfId="6544" xr:uid="{00000000-0005-0000-0000-0000F61F0000}"/>
    <cellStyle name="Normal 9 3 2 7 3 2" xfId="14994" xr:uid="{A4B3116F-BF98-404F-A562-D91449C8E088}"/>
    <cellStyle name="Normal 9 3 2 7 3 3" xfId="23441" xr:uid="{C5F02889-8C8D-4418-AE42-656EEEBDAA33}"/>
    <cellStyle name="Normal 9 3 2 7 4" xfId="10776" xr:uid="{8DDFE909-521D-4A47-92AC-A889E05DB0F2}"/>
    <cellStyle name="Normal 9 3 2 7 5" xfId="19224" xr:uid="{BD530611-0F38-4D8C-BC72-4E75EDBFBCB3}"/>
    <cellStyle name="Normal 9 3 2 8" xfId="2674" xr:uid="{00000000-0005-0000-0000-0000F71F0000}"/>
    <cellStyle name="Normal 9 3 2 8 2" xfId="6957" xr:uid="{00000000-0005-0000-0000-0000F81F0000}"/>
    <cellStyle name="Normal 9 3 2 8 2 2" xfId="15407" xr:uid="{9EB2051B-CD77-4882-A735-586BD6A6A7F7}"/>
    <cellStyle name="Normal 9 3 2 8 2 3" xfId="23854" xr:uid="{72DB7AD4-B444-4842-9AEE-75864CA81514}"/>
    <cellStyle name="Normal 9 3 2 8 3" xfId="11189" xr:uid="{9AFB8EF7-6836-4D8A-830A-032459D18C4B}"/>
    <cellStyle name="Normal 9 3 2 8 4" xfId="19637" xr:uid="{CF8C9760-C23F-40CA-820B-220A383EBEC6}"/>
    <cellStyle name="Normal 9 3 2 9" xfId="4892" xr:uid="{00000000-0005-0000-0000-0000F91F0000}"/>
    <cellStyle name="Normal 9 3 2 9 2" xfId="13342" xr:uid="{5464BD95-37A0-4736-9B93-F90DA798EA88}"/>
    <cellStyle name="Normal 9 3 2 9 3" xfId="21789" xr:uid="{8D1D05A2-4CEC-4914-869A-5CBF195F3548}"/>
    <cellStyle name="Normal 9 3 3" xfId="532" xr:uid="{00000000-0005-0000-0000-0000FA1F0000}"/>
    <cellStyle name="Normal 9 3 3 10" xfId="17576" xr:uid="{FAE49AD6-9F2A-48F7-8711-70DC9A3EACCD}"/>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2 2 2" xfId="15905" xr:uid="{DCFB65A8-5FE2-4626-91BC-AB338914EF04}"/>
    <cellStyle name="Normal 9 3 3 2 2 2 2 3" xfId="24352" xr:uid="{BAEBA796-FB3C-42EF-90DD-04DCB7794A60}"/>
    <cellStyle name="Normal 9 3 3 2 2 2 3" xfId="11687" xr:uid="{16CA7D2A-D82C-4582-8295-3D528C5B62A4}"/>
    <cellStyle name="Normal 9 3 3 2 2 2 4" xfId="20135" xr:uid="{E05B793A-31F3-4B34-A8AE-FFE55EB21464}"/>
    <cellStyle name="Normal 9 3 3 2 2 3" xfId="5310" xr:uid="{00000000-0005-0000-0000-0000FF1F0000}"/>
    <cellStyle name="Normal 9 3 3 2 2 3 2" xfId="13760" xr:uid="{099E2C0C-7A14-4B6E-8EEB-80F6F8E7C4FE}"/>
    <cellStyle name="Normal 9 3 3 2 2 3 3" xfId="22207" xr:uid="{04523801-C936-40F7-AD04-1686288B598A}"/>
    <cellStyle name="Normal 9 3 3 2 2 4" xfId="9542" xr:uid="{E7BD1243-C845-4A96-B0EB-E197D240EA33}"/>
    <cellStyle name="Normal 9 3 3 2 2 5" xfId="17990" xr:uid="{AB719901-E969-4DD8-9E91-4A23969B15C0}"/>
    <cellStyle name="Normal 9 3 3 2 3" xfId="1416" xr:uid="{00000000-0005-0000-0000-000000200000}"/>
    <cellStyle name="Normal 9 3 3 2 3 2" xfId="3646" xr:uid="{00000000-0005-0000-0000-000001200000}"/>
    <cellStyle name="Normal 9 3 3 2 3 2 2" xfId="7868" xr:uid="{00000000-0005-0000-0000-000002200000}"/>
    <cellStyle name="Normal 9 3 3 2 3 2 2 2" xfId="16318" xr:uid="{E12914CF-858F-4772-B546-B07DAC21C8EE}"/>
    <cellStyle name="Normal 9 3 3 2 3 2 2 3" xfId="24765" xr:uid="{AA2A02F8-31CA-4C9F-AF61-82906674D288}"/>
    <cellStyle name="Normal 9 3 3 2 3 2 3" xfId="12100" xr:uid="{8BAF0AE6-631E-45BA-9383-E419E897B537}"/>
    <cellStyle name="Normal 9 3 3 2 3 2 4" xfId="20548" xr:uid="{EB69F82A-642E-4237-ADA2-34097BAC1E5C}"/>
    <cellStyle name="Normal 9 3 3 2 3 3" xfId="5723" xr:uid="{00000000-0005-0000-0000-000003200000}"/>
    <cellStyle name="Normal 9 3 3 2 3 3 2" xfId="14173" xr:uid="{5465D754-3F86-43E8-BD99-6AE63C388A2B}"/>
    <cellStyle name="Normal 9 3 3 2 3 3 3" xfId="22620" xr:uid="{DFD62570-7C62-4906-81AF-45ED15957450}"/>
    <cellStyle name="Normal 9 3 3 2 3 4" xfId="9955" xr:uid="{7EC789C5-57DD-47B9-8CED-76D3BD247E6B}"/>
    <cellStyle name="Normal 9 3 3 2 3 5" xfId="18403" xr:uid="{B8E96887-D475-46D8-84BE-D843972E4D0E}"/>
    <cellStyle name="Normal 9 3 3 2 4" xfId="1829" xr:uid="{00000000-0005-0000-0000-000004200000}"/>
    <cellStyle name="Normal 9 3 3 2 4 2" xfId="4059" xr:uid="{00000000-0005-0000-0000-000005200000}"/>
    <cellStyle name="Normal 9 3 3 2 4 2 2" xfId="8281" xr:uid="{00000000-0005-0000-0000-000006200000}"/>
    <cellStyle name="Normal 9 3 3 2 4 2 2 2" xfId="16731" xr:uid="{98E9D459-36DC-44C6-866D-5E7405D0A7E3}"/>
    <cellStyle name="Normal 9 3 3 2 4 2 2 3" xfId="25178" xr:uid="{243D070B-41A9-4E72-889B-9E55B12102EF}"/>
    <cellStyle name="Normal 9 3 3 2 4 2 3" xfId="12513" xr:uid="{E224466D-04CD-4B3A-93FF-714F56E19490}"/>
    <cellStyle name="Normal 9 3 3 2 4 2 4" xfId="20961" xr:uid="{CE8C1119-9A94-4821-8928-E49D7B0A2D72}"/>
    <cellStyle name="Normal 9 3 3 2 4 3" xfId="6136" xr:uid="{00000000-0005-0000-0000-000007200000}"/>
    <cellStyle name="Normal 9 3 3 2 4 3 2" xfId="14586" xr:uid="{77B0F8B3-25E4-4333-88C1-2E3E1FE9AE97}"/>
    <cellStyle name="Normal 9 3 3 2 4 3 3" xfId="23033" xr:uid="{7C55880D-9324-4AA1-855F-8CC8F2FD16B3}"/>
    <cellStyle name="Normal 9 3 3 2 4 4" xfId="10368" xr:uid="{720E5BC6-B5A9-4680-A8E6-BBD0CD4B15BD}"/>
    <cellStyle name="Normal 9 3 3 2 4 5" xfId="18816" xr:uid="{66FA4603-6368-483F-9F57-37B7B9200C31}"/>
    <cellStyle name="Normal 9 3 3 2 5" xfId="2243" xr:uid="{00000000-0005-0000-0000-000008200000}"/>
    <cellStyle name="Normal 9 3 3 2 5 2" xfId="4472" xr:uid="{00000000-0005-0000-0000-000009200000}"/>
    <cellStyle name="Normal 9 3 3 2 5 2 2" xfId="8694" xr:uid="{00000000-0005-0000-0000-00000A200000}"/>
    <cellStyle name="Normal 9 3 3 2 5 2 2 2" xfId="17144" xr:uid="{1F516382-E049-46A7-A98F-6E7977AA6E27}"/>
    <cellStyle name="Normal 9 3 3 2 5 2 2 3" xfId="25591" xr:uid="{BE494D3B-52AA-49F2-8C22-DF003C5FD24C}"/>
    <cellStyle name="Normal 9 3 3 2 5 2 3" xfId="12926" xr:uid="{9F709F6F-C54F-4399-9C31-C692ACCD828E}"/>
    <cellStyle name="Normal 9 3 3 2 5 2 4" xfId="21374" xr:uid="{5329AB3F-69AD-4651-8FB7-D37DA73A11DC}"/>
    <cellStyle name="Normal 9 3 3 2 5 3" xfId="6549" xr:uid="{00000000-0005-0000-0000-00000B200000}"/>
    <cellStyle name="Normal 9 3 3 2 5 3 2" xfId="14999" xr:uid="{CBA072AA-73A9-4717-86B7-A67BC75412DE}"/>
    <cellStyle name="Normal 9 3 3 2 5 3 3" xfId="23446" xr:uid="{05885EAC-5933-4D60-8999-992298DD8CCD}"/>
    <cellStyle name="Normal 9 3 3 2 5 4" xfId="10781" xr:uid="{5C426079-550E-4BD4-82E9-9903D3F8D738}"/>
    <cellStyle name="Normal 9 3 3 2 5 5" xfId="19229" xr:uid="{8D569290-0782-4C8E-ACD0-88ECAD7CC12E}"/>
    <cellStyle name="Normal 9 3 3 2 6" xfId="2679" xr:uid="{00000000-0005-0000-0000-00000C200000}"/>
    <cellStyle name="Normal 9 3 3 2 6 2" xfId="6962" xr:uid="{00000000-0005-0000-0000-00000D200000}"/>
    <cellStyle name="Normal 9 3 3 2 6 2 2" xfId="15412" xr:uid="{6E0FB1FF-6F0B-4DDF-8B3B-577B96117C80}"/>
    <cellStyle name="Normal 9 3 3 2 6 2 3" xfId="23859" xr:uid="{096004E6-A345-46EB-A381-1EE342A98839}"/>
    <cellStyle name="Normal 9 3 3 2 6 3" xfId="11194" xr:uid="{F2BA8709-6B85-4099-BFC8-AD7734A2AFE5}"/>
    <cellStyle name="Normal 9 3 3 2 6 4" xfId="19642" xr:uid="{22B40580-5738-42E7-B1B2-EAE8F8D0B3EA}"/>
    <cellStyle name="Normal 9 3 3 2 7" xfId="4897" xr:uid="{00000000-0005-0000-0000-00000E200000}"/>
    <cellStyle name="Normal 9 3 3 2 7 2" xfId="13347" xr:uid="{A1E9B81D-DEFE-4CB0-A15F-3A29772CA9E3}"/>
    <cellStyle name="Normal 9 3 3 2 7 3" xfId="21794" xr:uid="{C21FA852-3EB8-472B-984F-C7249916CA9F}"/>
    <cellStyle name="Normal 9 3 3 2 8" xfId="9129" xr:uid="{3C1CC06E-D68A-4612-938D-C71A3ECDEEF2}"/>
    <cellStyle name="Normal 9 3 3 2 9" xfId="17577" xr:uid="{0104F335-C6BE-45A1-98BC-4479D9B7DB97}"/>
    <cellStyle name="Normal 9 3 3 3" xfId="999" xr:uid="{00000000-0005-0000-0000-00000F200000}"/>
    <cellStyle name="Normal 9 3 3 3 2" xfId="3232" xr:uid="{00000000-0005-0000-0000-000010200000}"/>
    <cellStyle name="Normal 9 3 3 3 2 2" xfId="7454" xr:uid="{00000000-0005-0000-0000-000011200000}"/>
    <cellStyle name="Normal 9 3 3 3 2 2 2" xfId="15904" xr:uid="{668677BF-BFD6-469D-BD18-8704F723D0C4}"/>
    <cellStyle name="Normal 9 3 3 3 2 2 3" xfId="24351" xr:uid="{392A4EEF-140A-425A-90B0-87F66439E6A8}"/>
    <cellStyle name="Normal 9 3 3 3 2 3" xfId="11686" xr:uid="{276BD9AA-CCD7-4A40-BE2F-E7FA8F18CB13}"/>
    <cellStyle name="Normal 9 3 3 3 2 4" xfId="20134" xr:uid="{E8B10DD5-0456-4A8D-BAAF-73758345C819}"/>
    <cellStyle name="Normal 9 3 3 3 3" xfId="5309" xr:uid="{00000000-0005-0000-0000-000012200000}"/>
    <cellStyle name="Normal 9 3 3 3 3 2" xfId="13759" xr:uid="{2500376D-35F6-4FAF-9067-A829A3E5251C}"/>
    <cellStyle name="Normal 9 3 3 3 3 3" xfId="22206" xr:uid="{6278F1F7-684B-46B0-8C93-67676AB0FEA5}"/>
    <cellStyle name="Normal 9 3 3 3 4" xfId="9541" xr:uid="{806BB880-3971-4732-82A4-1FFDF510923B}"/>
    <cellStyle name="Normal 9 3 3 3 5" xfId="17989" xr:uid="{1F5491A3-FC98-4C29-B12E-12B039FE4A1E}"/>
    <cellStyle name="Normal 9 3 3 4" xfId="1415" xr:uid="{00000000-0005-0000-0000-000013200000}"/>
    <cellStyle name="Normal 9 3 3 4 2" xfId="3645" xr:uid="{00000000-0005-0000-0000-000014200000}"/>
    <cellStyle name="Normal 9 3 3 4 2 2" xfId="7867" xr:uid="{00000000-0005-0000-0000-000015200000}"/>
    <cellStyle name="Normal 9 3 3 4 2 2 2" xfId="16317" xr:uid="{944514E4-D3C5-4C18-84A4-501A3E851FE6}"/>
    <cellStyle name="Normal 9 3 3 4 2 2 3" xfId="24764" xr:uid="{BA28CF05-6810-4F13-A82E-CC98F7741C38}"/>
    <cellStyle name="Normal 9 3 3 4 2 3" xfId="12099" xr:uid="{7EC1D72D-6B8A-4334-8D3E-6B2A9ED8EBC7}"/>
    <cellStyle name="Normal 9 3 3 4 2 4" xfId="20547" xr:uid="{465FD124-9098-4C41-8ADC-8936FE555D48}"/>
    <cellStyle name="Normal 9 3 3 4 3" xfId="5722" xr:uid="{00000000-0005-0000-0000-000016200000}"/>
    <cellStyle name="Normal 9 3 3 4 3 2" xfId="14172" xr:uid="{C0E96A33-1CB0-4A66-8423-0C74639BED77}"/>
    <cellStyle name="Normal 9 3 3 4 3 3" xfId="22619" xr:uid="{FCC642B2-5975-4D32-9148-476F51D5F608}"/>
    <cellStyle name="Normal 9 3 3 4 4" xfId="9954" xr:uid="{DD26C99D-7154-4AB0-BA51-C356084DDEA8}"/>
    <cellStyle name="Normal 9 3 3 4 5" xfId="18402" xr:uid="{6243B436-39CD-4203-BC42-6E2889E94A8E}"/>
    <cellStyle name="Normal 9 3 3 5" xfId="1828" xr:uid="{00000000-0005-0000-0000-000017200000}"/>
    <cellStyle name="Normal 9 3 3 5 2" xfId="4058" xr:uid="{00000000-0005-0000-0000-000018200000}"/>
    <cellStyle name="Normal 9 3 3 5 2 2" xfId="8280" xr:uid="{00000000-0005-0000-0000-000019200000}"/>
    <cellStyle name="Normal 9 3 3 5 2 2 2" xfId="16730" xr:uid="{E2BC1E0C-EF9B-42F3-BFEF-D06B3C418EC6}"/>
    <cellStyle name="Normal 9 3 3 5 2 2 3" xfId="25177" xr:uid="{864ABFB3-3D70-4239-8511-C4FF3FE6CFD5}"/>
    <cellStyle name="Normal 9 3 3 5 2 3" xfId="12512" xr:uid="{328130BE-7EE7-42A2-9A47-0DE85FAD3068}"/>
    <cellStyle name="Normal 9 3 3 5 2 4" xfId="20960" xr:uid="{CFC80F14-7C3B-41D8-A76A-48415A81BD23}"/>
    <cellStyle name="Normal 9 3 3 5 3" xfId="6135" xr:uid="{00000000-0005-0000-0000-00001A200000}"/>
    <cellStyle name="Normal 9 3 3 5 3 2" xfId="14585" xr:uid="{4CE1357F-8E54-43DD-9CA1-08B0877CE09A}"/>
    <cellStyle name="Normal 9 3 3 5 3 3" xfId="23032" xr:uid="{52603A6B-61CC-4DBE-B734-2F2DDD1D2BF2}"/>
    <cellStyle name="Normal 9 3 3 5 4" xfId="10367" xr:uid="{31FEE19F-CD91-46B2-AA93-917E2A55BEF4}"/>
    <cellStyle name="Normal 9 3 3 5 5" xfId="18815" xr:uid="{455AD382-AA07-47FD-8120-246AA26B138F}"/>
    <cellStyle name="Normal 9 3 3 6" xfId="2242" xr:uid="{00000000-0005-0000-0000-00001B200000}"/>
    <cellStyle name="Normal 9 3 3 6 2" xfId="4471" xr:uid="{00000000-0005-0000-0000-00001C200000}"/>
    <cellStyle name="Normal 9 3 3 6 2 2" xfId="8693" xr:uid="{00000000-0005-0000-0000-00001D200000}"/>
    <cellStyle name="Normal 9 3 3 6 2 2 2" xfId="17143" xr:uid="{4D4C13A5-CFD3-4E17-8C89-4CEB38141434}"/>
    <cellStyle name="Normal 9 3 3 6 2 2 3" xfId="25590" xr:uid="{6BA70608-0146-46D9-A929-025D08EC53A0}"/>
    <cellStyle name="Normal 9 3 3 6 2 3" xfId="12925" xr:uid="{0A5DE4F8-B835-4322-AADA-91650E0014FC}"/>
    <cellStyle name="Normal 9 3 3 6 2 4" xfId="21373" xr:uid="{15E76A06-512B-47F6-AC5D-DDD4740975C6}"/>
    <cellStyle name="Normal 9 3 3 6 3" xfId="6548" xr:uid="{00000000-0005-0000-0000-00001E200000}"/>
    <cellStyle name="Normal 9 3 3 6 3 2" xfId="14998" xr:uid="{E3E4A746-F88A-41DC-84A3-0372FAED4744}"/>
    <cellStyle name="Normal 9 3 3 6 3 3" xfId="23445" xr:uid="{9D458532-3ECB-4F05-B6DC-9A0EE748E9FB}"/>
    <cellStyle name="Normal 9 3 3 6 4" xfId="10780" xr:uid="{81354B83-DF41-4594-880D-B204DB760C79}"/>
    <cellStyle name="Normal 9 3 3 6 5" xfId="19228" xr:uid="{2FF902B5-95A1-45BB-A706-E3DDBC40E5A4}"/>
    <cellStyle name="Normal 9 3 3 7" xfId="2678" xr:uid="{00000000-0005-0000-0000-00001F200000}"/>
    <cellStyle name="Normal 9 3 3 7 2" xfId="6961" xr:uid="{00000000-0005-0000-0000-000020200000}"/>
    <cellStyle name="Normal 9 3 3 7 2 2" xfId="15411" xr:uid="{0FA2BC62-A9D5-451C-A939-3E1028FBDCC5}"/>
    <cellStyle name="Normal 9 3 3 7 2 3" xfId="23858" xr:uid="{38447D29-96BE-4BAD-A952-00224EF08F50}"/>
    <cellStyle name="Normal 9 3 3 7 3" xfId="11193" xr:uid="{953B71DA-2F43-48C1-8EC6-840FEBEE2461}"/>
    <cellStyle name="Normal 9 3 3 7 4" xfId="19641" xr:uid="{12635766-6019-47A2-8B54-A6C875C2526F}"/>
    <cellStyle name="Normal 9 3 3 8" xfId="4896" xr:uid="{00000000-0005-0000-0000-000021200000}"/>
    <cellStyle name="Normal 9 3 3 8 2" xfId="13346" xr:uid="{ECFE6200-C25C-41FA-8692-36A6B48B972B}"/>
    <cellStyle name="Normal 9 3 3 8 3" xfId="21793" xr:uid="{58EF39DD-D419-4CEF-A86A-B805B0C9CD7D}"/>
    <cellStyle name="Normal 9 3 3 9" xfId="9128" xr:uid="{6C6EC476-6ED2-4A18-B84C-3086F02A4456}"/>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2 2 2" xfId="15906" xr:uid="{8582FB43-98ED-4E43-A650-DDC1590C0789}"/>
    <cellStyle name="Normal 9 3 4 2 2 2 3" xfId="24353" xr:uid="{9199AE74-C424-4A75-AC1D-7211B43613B2}"/>
    <cellStyle name="Normal 9 3 4 2 2 3" xfId="11688" xr:uid="{B059ACCF-53F8-48F7-8B10-E05F180F9D9C}"/>
    <cellStyle name="Normal 9 3 4 2 2 4" xfId="20136" xr:uid="{FD197E23-9A1D-4AE4-AEC6-48BF21EC747A}"/>
    <cellStyle name="Normal 9 3 4 2 3" xfId="5311" xr:uid="{00000000-0005-0000-0000-000026200000}"/>
    <cellStyle name="Normal 9 3 4 2 3 2" xfId="13761" xr:uid="{F40E2679-13E7-4DD4-9A00-44CDC38316FB}"/>
    <cellStyle name="Normal 9 3 4 2 3 3" xfId="22208" xr:uid="{04E89C93-1460-428F-A8AA-163D978128C0}"/>
    <cellStyle name="Normal 9 3 4 2 4" xfId="9543" xr:uid="{FB676286-4239-4C08-9D30-5253D17B5B0D}"/>
    <cellStyle name="Normal 9 3 4 2 5" xfId="17991" xr:uid="{53DCF6D3-5709-4EA3-A760-B88A875D1093}"/>
    <cellStyle name="Normal 9 3 4 3" xfId="1417" xr:uid="{00000000-0005-0000-0000-000027200000}"/>
    <cellStyle name="Normal 9 3 4 3 2" xfId="3647" xr:uid="{00000000-0005-0000-0000-000028200000}"/>
    <cellStyle name="Normal 9 3 4 3 2 2" xfId="7869" xr:uid="{00000000-0005-0000-0000-000029200000}"/>
    <cellStyle name="Normal 9 3 4 3 2 2 2" xfId="16319" xr:uid="{479DDEA5-B042-48FA-9AC3-DC957FA9C815}"/>
    <cellStyle name="Normal 9 3 4 3 2 2 3" xfId="24766" xr:uid="{F1A16670-9AA5-4AE8-BC9D-FE4D0B59FBC5}"/>
    <cellStyle name="Normal 9 3 4 3 2 3" xfId="12101" xr:uid="{28D2A020-EAC0-4581-9F43-4D341186D991}"/>
    <cellStyle name="Normal 9 3 4 3 2 4" xfId="20549" xr:uid="{ED14D4E1-9A5F-4061-95A5-2B8B998B1A48}"/>
    <cellStyle name="Normal 9 3 4 3 3" xfId="5724" xr:uid="{00000000-0005-0000-0000-00002A200000}"/>
    <cellStyle name="Normal 9 3 4 3 3 2" xfId="14174" xr:uid="{C86DB997-C69D-4D7B-8DCD-786365DE05E0}"/>
    <cellStyle name="Normal 9 3 4 3 3 3" xfId="22621" xr:uid="{8A012281-5329-4515-A930-DE1F8B64657B}"/>
    <cellStyle name="Normal 9 3 4 3 4" xfId="9956" xr:uid="{3AA367B0-6D95-4069-87C8-C85AE32B18BC}"/>
    <cellStyle name="Normal 9 3 4 3 5" xfId="18404" xr:uid="{2CBD9251-4C3B-46A9-92F2-A63F2817742A}"/>
    <cellStyle name="Normal 9 3 4 4" xfId="1830" xr:uid="{00000000-0005-0000-0000-00002B200000}"/>
    <cellStyle name="Normal 9 3 4 4 2" xfId="4060" xr:uid="{00000000-0005-0000-0000-00002C200000}"/>
    <cellStyle name="Normal 9 3 4 4 2 2" xfId="8282" xr:uid="{00000000-0005-0000-0000-00002D200000}"/>
    <cellStyle name="Normal 9 3 4 4 2 2 2" xfId="16732" xr:uid="{A114767D-1FED-4D3F-AF57-5209207BCBDC}"/>
    <cellStyle name="Normal 9 3 4 4 2 2 3" xfId="25179" xr:uid="{ADAA8E9F-30A5-4C79-8E7B-19E9DF82D8C2}"/>
    <cellStyle name="Normal 9 3 4 4 2 3" xfId="12514" xr:uid="{27B5B88E-06E9-4DDE-AD8C-6BBE949B7F43}"/>
    <cellStyle name="Normal 9 3 4 4 2 4" xfId="20962" xr:uid="{2FA4E4F0-FE84-459D-91B0-3FCA9A5D81DB}"/>
    <cellStyle name="Normal 9 3 4 4 3" xfId="6137" xr:uid="{00000000-0005-0000-0000-00002E200000}"/>
    <cellStyle name="Normal 9 3 4 4 3 2" xfId="14587" xr:uid="{8851062C-F553-49B3-BF24-EEE25B99BDC5}"/>
    <cellStyle name="Normal 9 3 4 4 3 3" xfId="23034" xr:uid="{394D4FBA-04C9-4C4B-B33A-159C95239AE4}"/>
    <cellStyle name="Normal 9 3 4 4 4" xfId="10369" xr:uid="{71DDBDB5-4F37-4ED5-A2A6-D2C4CB12359E}"/>
    <cellStyle name="Normal 9 3 4 4 5" xfId="18817" xr:uid="{F224E0FB-8A96-4578-A875-E86EE852C06A}"/>
    <cellStyle name="Normal 9 3 4 5" xfId="2244" xr:uid="{00000000-0005-0000-0000-00002F200000}"/>
    <cellStyle name="Normal 9 3 4 5 2" xfId="4473" xr:uid="{00000000-0005-0000-0000-000030200000}"/>
    <cellStyle name="Normal 9 3 4 5 2 2" xfId="8695" xr:uid="{00000000-0005-0000-0000-000031200000}"/>
    <cellStyle name="Normal 9 3 4 5 2 2 2" xfId="17145" xr:uid="{DAC28E1A-D677-4119-AAAC-C207EB408E83}"/>
    <cellStyle name="Normal 9 3 4 5 2 2 3" xfId="25592" xr:uid="{5DF07826-CBA7-491E-A276-454CFB27CA59}"/>
    <cellStyle name="Normal 9 3 4 5 2 3" xfId="12927" xr:uid="{01C2C7C9-CA78-40E2-B128-523DCB8138CE}"/>
    <cellStyle name="Normal 9 3 4 5 2 4" xfId="21375" xr:uid="{1DE2DF3C-D4B0-4A3E-8308-7647EE1134FB}"/>
    <cellStyle name="Normal 9 3 4 5 3" xfId="6550" xr:uid="{00000000-0005-0000-0000-000032200000}"/>
    <cellStyle name="Normal 9 3 4 5 3 2" xfId="15000" xr:uid="{80934783-528C-46D5-B267-AF39DCEE5891}"/>
    <cellStyle name="Normal 9 3 4 5 3 3" xfId="23447" xr:uid="{A180D8DE-6A7D-4FCA-85F7-094D220BEE46}"/>
    <cellStyle name="Normal 9 3 4 5 4" xfId="10782" xr:uid="{D1553CFE-DB46-4467-8CF7-8E52905E1585}"/>
    <cellStyle name="Normal 9 3 4 5 5" xfId="19230" xr:uid="{893E17C4-441E-4416-AA27-3136F3727D63}"/>
    <cellStyle name="Normal 9 3 4 6" xfId="2680" xr:uid="{00000000-0005-0000-0000-000033200000}"/>
    <cellStyle name="Normal 9 3 4 6 2" xfId="6963" xr:uid="{00000000-0005-0000-0000-000034200000}"/>
    <cellStyle name="Normal 9 3 4 6 2 2" xfId="15413" xr:uid="{71C5FA80-9B19-494F-B6ED-E0E9574177E7}"/>
    <cellStyle name="Normal 9 3 4 6 2 3" xfId="23860" xr:uid="{FBEABA7E-BBAF-438D-A6D0-806AFB408D0B}"/>
    <cellStyle name="Normal 9 3 4 6 3" xfId="11195" xr:uid="{F56C6905-95E4-4F8F-9301-6F1940FE5B28}"/>
    <cellStyle name="Normal 9 3 4 6 4" xfId="19643" xr:uid="{464F7FD8-EFA4-4486-9EF5-475CC6864C53}"/>
    <cellStyle name="Normal 9 3 4 7" xfId="4898" xr:uid="{00000000-0005-0000-0000-000035200000}"/>
    <cellStyle name="Normal 9 3 4 7 2" xfId="13348" xr:uid="{9F77CD44-B181-4BF9-A03E-A155FEE46608}"/>
    <cellStyle name="Normal 9 3 4 7 3" xfId="21795" xr:uid="{CB750F49-A422-4073-AA28-688A5E6E5AD3}"/>
    <cellStyle name="Normal 9 3 4 8" xfId="9130" xr:uid="{CD8FFB5E-EA92-40CB-9C5C-F8EAABEF3A28}"/>
    <cellStyle name="Normal 9 3 4 9" xfId="17578" xr:uid="{3C8E1CF3-4CFA-45A7-A7CB-6AC613E0E832}"/>
    <cellStyle name="Normal 9 3 5" xfId="994" xr:uid="{00000000-0005-0000-0000-000036200000}"/>
    <cellStyle name="Normal 9 3 5 2" xfId="3227" xr:uid="{00000000-0005-0000-0000-000037200000}"/>
    <cellStyle name="Normal 9 3 5 2 2" xfId="7449" xr:uid="{00000000-0005-0000-0000-000038200000}"/>
    <cellStyle name="Normal 9 3 5 2 2 2" xfId="15899" xr:uid="{18A22391-516A-4ECE-869B-512DD801F177}"/>
    <cellStyle name="Normal 9 3 5 2 2 3" xfId="24346" xr:uid="{A6DCF630-FA4D-4D86-9027-C1C9B476CE0D}"/>
    <cellStyle name="Normal 9 3 5 2 3" xfId="11681" xr:uid="{1CC8A200-B27B-43DA-AE10-E2402B5627C7}"/>
    <cellStyle name="Normal 9 3 5 2 4" xfId="20129" xr:uid="{F05DAA88-26E1-428F-A98D-0D7D2FE8BEDB}"/>
    <cellStyle name="Normal 9 3 5 3" xfId="5304" xr:uid="{00000000-0005-0000-0000-000039200000}"/>
    <cellStyle name="Normal 9 3 5 3 2" xfId="13754" xr:uid="{0A849846-1E64-4013-BB69-C01600C78510}"/>
    <cellStyle name="Normal 9 3 5 3 3" xfId="22201" xr:uid="{BEE7FBE0-CD63-49D0-92F2-D4DDA1790260}"/>
    <cellStyle name="Normal 9 3 5 4" xfId="9536" xr:uid="{20E23C63-31DC-4060-B95E-6236C48E5ED2}"/>
    <cellStyle name="Normal 9 3 5 5" xfId="17984" xr:uid="{B9AF8C5A-2D6F-4C26-8C63-0FF08F6BB142}"/>
    <cellStyle name="Normal 9 3 6" xfId="1410" xr:uid="{00000000-0005-0000-0000-00003A200000}"/>
    <cellStyle name="Normal 9 3 6 2" xfId="3640" xr:uid="{00000000-0005-0000-0000-00003B200000}"/>
    <cellStyle name="Normal 9 3 6 2 2" xfId="7862" xr:uid="{00000000-0005-0000-0000-00003C200000}"/>
    <cellStyle name="Normal 9 3 6 2 2 2" xfId="16312" xr:uid="{6166D6F3-C236-48A1-A21C-E873088C25B1}"/>
    <cellStyle name="Normal 9 3 6 2 2 3" xfId="24759" xr:uid="{B05DC4EE-9359-4B40-ACA4-A41D4C34B4D1}"/>
    <cellStyle name="Normal 9 3 6 2 3" xfId="12094" xr:uid="{988B5B89-4075-43B3-88A1-6D568F472422}"/>
    <cellStyle name="Normal 9 3 6 2 4" xfId="20542" xr:uid="{00D334CE-235C-4098-B064-DD519CC6775B}"/>
    <cellStyle name="Normal 9 3 6 3" xfId="5717" xr:uid="{00000000-0005-0000-0000-00003D200000}"/>
    <cellStyle name="Normal 9 3 6 3 2" xfId="14167" xr:uid="{07AAA499-2DFA-4A09-BEAB-69C372CCD3FE}"/>
    <cellStyle name="Normal 9 3 6 3 3" xfId="22614" xr:uid="{B8E7FDAE-CD6C-4A1A-97DB-6F08FF8EA27C}"/>
    <cellStyle name="Normal 9 3 6 4" xfId="9949" xr:uid="{BD67BA2B-1D45-4516-AEFE-5BBC47EC3F8F}"/>
    <cellStyle name="Normal 9 3 6 5" xfId="18397" xr:uid="{B34E2961-8905-4CAF-8FF6-57C9C99266A4}"/>
    <cellStyle name="Normal 9 3 7" xfId="1823" xr:uid="{00000000-0005-0000-0000-00003E200000}"/>
    <cellStyle name="Normal 9 3 7 2" xfId="4053" xr:uid="{00000000-0005-0000-0000-00003F200000}"/>
    <cellStyle name="Normal 9 3 7 2 2" xfId="8275" xr:uid="{00000000-0005-0000-0000-000040200000}"/>
    <cellStyle name="Normal 9 3 7 2 2 2" xfId="16725" xr:uid="{823BF969-89E7-49F5-B74D-30667446AA15}"/>
    <cellStyle name="Normal 9 3 7 2 2 3" xfId="25172" xr:uid="{67FFAD6E-0A49-4F1E-B2E8-0B68C5AF7155}"/>
    <cellStyle name="Normal 9 3 7 2 3" xfId="12507" xr:uid="{8905BDE2-2C56-4DB0-B1E8-5DE96B21FC49}"/>
    <cellStyle name="Normal 9 3 7 2 4" xfId="20955" xr:uid="{0DE38D96-D119-468C-9683-36CD6E47B74B}"/>
    <cellStyle name="Normal 9 3 7 3" xfId="6130" xr:uid="{00000000-0005-0000-0000-000041200000}"/>
    <cellStyle name="Normal 9 3 7 3 2" xfId="14580" xr:uid="{26E68C68-793B-4679-B6B7-0379C62F2DB9}"/>
    <cellStyle name="Normal 9 3 7 3 3" xfId="23027" xr:uid="{765BF507-8716-40FD-9D1F-0CF964914996}"/>
    <cellStyle name="Normal 9 3 7 4" xfId="10362" xr:uid="{F20E1BF5-CDD9-48F4-A2D8-C8E2039DB212}"/>
    <cellStyle name="Normal 9 3 7 5" xfId="18810" xr:uid="{F5D1EA65-1EFF-4ECD-AE42-19A2296C63E0}"/>
    <cellStyle name="Normal 9 3 8" xfId="2237" xr:uid="{00000000-0005-0000-0000-000042200000}"/>
    <cellStyle name="Normal 9 3 8 2" xfId="4466" xr:uid="{00000000-0005-0000-0000-000043200000}"/>
    <cellStyle name="Normal 9 3 8 2 2" xfId="8688" xr:uid="{00000000-0005-0000-0000-000044200000}"/>
    <cellStyle name="Normal 9 3 8 2 2 2" xfId="17138" xr:uid="{A12A2EDC-2A5C-420C-A063-AFA547BC3471}"/>
    <cellStyle name="Normal 9 3 8 2 2 3" xfId="25585" xr:uid="{D8C76209-9940-43C6-9C0D-B7F4D6196FBF}"/>
    <cellStyle name="Normal 9 3 8 2 3" xfId="12920" xr:uid="{87F24994-2378-4875-8408-E965C5CE1154}"/>
    <cellStyle name="Normal 9 3 8 2 4" xfId="21368" xr:uid="{0A73B090-FD86-405C-9F25-9469404C9740}"/>
    <cellStyle name="Normal 9 3 8 3" xfId="6543" xr:uid="{00000000-0005-0000-0000-000045200000}"/>
    <cellStyle name="Normal 9 3 8 3 2" xfId="14993" xr:uid="{778EBEAA-4647-4DAC-B80E-D75F1D5F9998}"/>
    <cellStyle name="Normal 9 3 8 3 3" xfId="23440" xr:uid="{FA794C10-12F1-48E7-9936-4A9D5178310D}"/>
    <cellStyle name="Normal 9 3 8 4" xfId="10775" xr:uid="{12F2A67D-0F33-4A7E-8206-5E0933FC1C64}"/>
    <cellStyle name="Normal 9 3 8 5" xfId="19223" xr:uid="{2F71982D-FBAF-427D-A2D7-E6B1A37A3AF2}"/>
    <cellStyle name="Normal 9 3 9" xfId="2673" xr:uid="{00000000-0005-0000-0000-000046200000}"/>
    <cellStyle name="Normal 9 3 9 2" xfId="6956" xr:uid="{00000000-0005-0000-0000-000047200000}"/>
    <cellStyle name="Normal 9 3 9 2 2" xfId="15406" xr:uid="{5DEDB1D1-283B-4B22-8B5E-883CCABF96F6}"/>
    <cellStyle name="Normal 9 3 9 2 3" xfId="23853" xr:uid="{40627B94-A155-4605-A85E-3E505DDDB8B7}"/>
    <cellStyle name="Normal 9 3 9 3" xfId="11188" xr:uid="{7B5B940F-C7F9-4C98-83FC-3A9ED57A9459}"/>
    <cellStyle name="Normal 9 3 9 4" xfId="19636" xr:uid="{95533D10-C18C-48D2-A9D4-FBDBCBADE2A6}"/>
    <cellStyle name="Normal 9 4" xfId="535" xr:uid="{00000000-0005-0000-0000-000048200000}"/>
    <cellStyle name="Normal 9 4 2" xfId="1002" xr:uid="{00000000-0005-0000-0000-000049200000}"/>
    <cellStyle name="Normal 9 5" xfId="536" xr:uid="{00000000-0005-0000-0000-00004A200000}"/>
    <cellStyle name="Normal 9 5 10" xfId="17579" xr:uid="{69437299-D41D-420D-8FA4-344553A413F6}"/>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2 2 2" xfId="15908" xr:uid="{B1712485-CBD6-4FF3-81AE-79032A207A99}"/>
    <cellStyle name="Normal 9 5 2 2 2 2 3" xfId="24355" xr:uid="{6E21E1AD-A5A4-4ACB-B4DF-3CE570B821FA}"/>
    <cellStyle name="Normal 9 5 2 2 2 3" xfId="11690" xr:uid="{D89AAE71-28E5-44DF-B99D-F4261E39E5EF}"/>
    <cellStyle name="Normal 9 5 2 2 2 4" xfId="20138" xr:uid="{BBB25A0D-3059-47D6-8238-5D4777A1B1E2}"/>
    <cellStyle name="Normal 9 5 2 2 3" xfId="5313" xr:uid="{00000000-0005-0000-0000-00004F200000}"/>
    <cellStyle name="Normal 9 5 2 2 3 2" xfId="13763" xr:uid="{729E8487-CA10-4063-8F21-946E4B3E2EAC}"/>
    <cellStyle name="Normal 9 5 2 2 3 3" xfId="22210" xr:uid="{B604920E-727F-4169-9C42-32C3E52C3936}"/>
    <cellStyle name="Normal 9 5 2 2 4" xfId="9545" xr:uid="{5B53A32F-A428-4B8F-AF3B-7F9FCE763F85}"/>
    <cellStyle name="Normal 9 5 2 2 5" xfId="17993" xr:uid="{7F39A65F-6D22-42B3-BC78-FC31AF06E8DE}"/>
    <cellStyle name="Normal 9 5 2 3" xfId="1419" xr:uid="{00000000-0005-0000-0000-000050200000}"/>
    <cellStyle name="Normal 9 5 2 3 2" xfId="3649" xr:uid="{00000000-0005-0000-0000-000051200000}"/>
    <cellStyle name="Normal 9 5 2 3 2 2" xfId="7871" xr:uid="{00000000-0005-0000-0000-000052200000}"/>
    <cellStyle name="Normal 9 5 2 3 2 2 2" xfId="16321" xr:uid="{B905FB02-03C9-418E-8869-370055AAB0A2}"/>
    <cellStyle name="Normal 9 5 2 3 2 2 3" xfId="24768" xr:uid="{29223006-B6E0-4F9C-B183-6391998A7FEB}"/>
    <cellStyle name="Normal 9 5 2 3 2 3" xfId="12103" xr:uid="{868E7C2C-F1A6-4756-980E-C6200BF53E07}"/>
    <cellStyle name="Normal 9 5 2 3 2 4" xfId="20551" xr:uid="{B68D518F-61E5-4158-B88D-F5F510E564C3}"/>
    <cellStyle name="Normal 9 5 2 3 3" xfId="5726" xr:uid="{00000000-0005-0000-0000-000053200000}"/>
    <cellStyle name="Normal 9 5 2 3 3 2" xfId="14176" xr:uid="{DB35233C-2C5C-4D15-AC2A-AA427A72BC82}"/>
    <cellStyle name="Normal 9 5 2 3 3 3" xfId="22623" xr:uid="{D60E186C-96C3-43BC-9574-8EC4AF2AFCFB}"/>
    <cellStyle name="Normal 9 5 2 3 4" xfId="9958" xr:uid="{9566E9D0-EC50-44CD-B35E-9261E95D2B76}"/>
    <cellStyle name="Normal 9 5 2 3 5" xfId="18406" xr:uid="{4D73308A-41F5-47B4-A8B7-020D56062E15}"/>
    <cellStyle name="Normal 9 5 2 4" xfId="1832" xr:uid="{00000000-0005-0000-0000-000054200000}"/>
    <cellStyle name="Normal 9 5 2 4 2" xfId="4062" xr:uid="{00000000-0005-0000-0000-000055200000}"/>
    <cellStyle name="Normal 9 5 2 4 2 2" xfId="8284" xr:uid="{00000000-0005-0000-0000-000056200000}"/>
    <cellStyle name="Normal 9 5 2 4 2 2 2" xfId="16734" xr:uid="{78EC553D-2464-46E6-9444-D3E2C09DA11C}"/>
    <cellStyle name="Normal 9 5 2 4 2 2 3" xfId="25181" xr:uid="{C4AF8417-123D-41B8-B91D-1C8A9872C1B4}"/>
    <cellStyle name="Normal 9 5 2 4 2 3" xfId="12516" xr:uid="{C5794E8F-2585-45DF-B0D3-6F4092391129}"/>
    <cellStyle name="Normal 9 5 2 4 2 4" xfId="20964" xr:uid="{C82BCD0C-114A-4505-832B-DCEBC3D98A02}"/>
    <cellStyle name="Normal 9 5 2 4 3" xfId="6139" xr:uid="{00000000-0005-0000-0000-000057200000}"/>
    <cellStyle name="Normal 9 5 2 4 3 2" xfId="14589" xr:uid="{DAFF57DD-A2AC-49B3-9732-E01530874285}"/>
    <cellStyle name="Normal 9 5 2 4 3 3" xfId="23036" xr:uid="{3268BDAD-B524-4B75-8B9F-4B3C5D84BAEA}"/>
    <cellStyle name="Normal 9 5 2 4 4" xfId="10371" xr:uid="{1A85F79F-E929-4491-9ED7-8A86EF99AB06}"/>
    <cellStyle name="Normal 9 5 2 4 5" xfId="18819" xr:uid="{DE5BF5F5-DFC8-4924-B672-87F54F6153D1}"/>
    <cellStyle name="Normal 9 5 2 5" xfId="2246" xr:uid="{00000000-0005-0000-0000-000058200000}"/>
    <cellStyle name="Normal 9 5 2 5 2" xfId="4475" xr:uid="{00000000-0005-0000-0000-000059200000}"/>
    <cellStyle name="Normal 9 5 2 5 2 2" xfId="8697" xr:uid="{00000000-0005-0000-0000-00005A200000}"/>
    <cellStyle name="Normal 9 5 2 5 2 2 2" xfId="17147" xr:uid="{BB47D9D8-2393-4802-9951-FCF4FF5FB5FE}"/>
    <cellStyle name="Normal 9 5 2 5 2 2 3" xfId="25594" xr:uid="{071B60CD-C80D-40EB-A5F9-9E0F32F5164F}"/>
    <cellStyle name="Normal 9 5 2 5 2 3" xfId="12929" xr:uid="{A0AFB1CE-1C56-4376-BE5F-9886F072131A}"/>
    <cellStyle name="Normal 9 5 2 5 2 4" xfId="21377" xr:uid="{EDC8F8D7-09CB-4BFC-B62F-D73AEAB12AB5}"/>
    <cellStyle name="Normal 9 5 2 5 3" xfId="6552" xr:uid="{00000000-0005-0000-0000-00005B200000}"/>
    <cellStyle name="Normal 9 5 2 5 3 2" xfId="15002" xr:uid="{3A827055-2E45-4157-ADFC-06B07AB6F3F4}"/>
    <cellStyle name="Normal 9 5 2 5 3 3" xfId="23449" xr:uid="{6428FC24-8867-4910-8BE7-85926FAD82B1}"/>
    <cellStyle name="Normal 9 5 2 5 4" xfId="10784" xr:uid="{BF09F293-D27E-46A5-867D-53B6A8DF941F}"/>
    <cellStyle name="Normal 9 5 2 5 5" xfId="19232" xr:uid="{8FFC8447-CEAD-47F5-91A0-EE094E8FAEF6}"/>
    <cellStyle name="Normal 9 5 2 6" xfId="2682" xr:uid="{00000000-0005-0000-0000-00005C200000}"/>
    <cellStyle name="Normal 9 5 2 6 2" xfId="6965" xr:uid="{00000000-0005-0000-0000-00005D200000}"/>
    <cellStyle name="Normal 9 5 2 6 2 2" xfId="15415" xr:uid="{B2952FCF-9923-4257-9E22-BA269A89D8F4}"/>
    <cellStyle name="Normal 9 5 2 6 2 3" xfId="23862" xr:uid="{96D8F880-A855-44FD-AC58-A4D96BA587AC}"/>
    <cellStyle name="Normal 9 5 2 6 3" xfId="11197" xr:uid="{05587DF6-5149-4451-A785-48FFA36503B8}"/>
    <cellStyle name="Normal 9 5 2 6 4" xfId="19645" xr:uid="{F4B10B84-399B-4CA5-9F44-4B5110DD6B6F}"/>
    <cellStyle name="Normal 9 5 2 7" xfId="4900" xr:uid="{00000000-0005-0000-0000-00005E200000}"/>
    <cellStyle name="Normal 9 5 2 7 2" xfId="13350" xr:uid="{EFA50277-E2B3-4B19-9A29-548C332B4F18}"/>
    <cellStyle name="Normal 9 5 2 7 3" xfId="21797" xr:uid="{9B735306-B8C8-4E0F-8525-450F7151D46A}"/>
    <cellStyle name="Normal 9 5 2 8" xfId="9132" xr:uid="{03060D1B-398F-4430-A1AB-C871E54F2AE0}"/>
    <cellStyle name="Normal 9 5 2 9" xfId="17580" xr:uid="{5505C66A-0176-4056-8840-24A25C8781DA}"/>
    <cellStyle name="Normal 9 5 3" xfId="1003" xr:uid="{00000000-0005-0000-0000-00005F200000}"/>
    <cellStyle name="Normal 9 5 3 2" xfId="3235" xr:uid="{00000000-0005-0000-0000-000060200000}"/>
    <cellStyle name="Normal 9 5 3 2 2" xfId="7457" xr:uid="{00000000-0005-0000-0000-000061200000}"/>
    <cellStyle name="Normal 9 5 3 2 2 2" xfId="15907" xr:uid="{5F466B1C-3587-44B2-B975-FF9B93FBBDD7}"/>
    <cellStyle name="Normal 9 5 3 2 2 3" xfId="24354" xr:uid="{F52717A6-6585-420F-8C03-385306056DFD}"/>
    <cellStyle name="Normal 9 5 3 2 3" xfId="11689" xr:uid="{251608B9-CB7A-4F76-89CA-3CD1231B7058}"/>
    <cellStyle name="Normal 9 5 3 2 4" xfId="20137" xr:uid="{3CB8E2A7-D33F-4657-848A-5320092ABAAB}"/>
    <cellStyle name="Normal 9 5 3 3" xfId="5312" xr:uid="{00000000-0005-0000-0000-000062200000}"/>
    <cellStyle name="Normal 9 5 3 3 2" xfId="13762" xr:uid="{FA24D5E3-3D6A-4C97-84CD-B933B226CAC2}"/>
    <cellStyle name="Normal 9 5 3 3 3" xfId="22209" xr:uid="{66153FE1-B3B3-4856-8743-94C90F568480}"/>
    <cellStyle name="Normal 9 5 3 4" xfId="9544" xr:uid="{F611F7C9-1A6C-474C-95D4-9C74FC863781}"/>
    <cellStyle name="Normal 9 5 3 5" xfId="17992" xr:uid="{40B6BF0B-E256-4006-B688-09C66F470A90}"/>
    <cellStyle name="Normal 9 5 4" xfId="1418" xr:uid="{00000000-0005-0000-0000-000063200000}"/>
    <cellStyle name="Normal 9 5 4 2" xfId="3648" xr:uid="{00000000-0005-0000-0000-000064200000}"/>
    <cellStyle name="Normal 9 5 4 2 2" xfId="7870" xr:uid="{00000000-0005-0000-0000-000065200000}"/>
    <cellStyle name="Normal 9 5 4 2 2 2" xfId="16320" xr:uid="{4AAF491D-7079-4240-A081-02D42BD8F7ED}"/>
    <cellStyle name="Normal 9 5 4 2 2 3" xfId="24767" xr:uid="{77813573-BD46-4A58-9FFA-0E12AB73BEF9}"/>
    <cellStyle name="Normal 9 5 4 2 3" xfId="12102" xr:uid="{2004BA77-199D-4978-9919-E8E7BCD39B76}"/>
    <cellStyle name="Normal 9 5 4 2 4" xfId="20550" xr:uid="{1A7F318F-381B-4746-943C-1C9293B47830}"/>
    <cellStyle name="Normal 9 5 4 3" xfId="5725" xr:uid="{00000000-0005-0000-0000-000066200000}"/>
    <cellStyle name="Normal 9 5 4 3 2" xfId="14175" xr:uid="{4A41437E-BA1B-45C2-8FF4-BBD7EEC47E9E}"/>
    <cellStyle name="Normal 9 5 4 3 3" xfId="22622" xr:uid="{77A0BC58-52DD-4BBF-961F-621F8F81EAAB}"/>
    <cellStyle name="Normal 9 5 4 4" xfId="9957" xr:uid="{77FF9E8D-A253-45E9-B1BD-B6627770E53F}"/>
    <cellStyle name="Normal 9 5 4 5" xfId="18405" xr:uid="{83605C4A-DE5D-4613-95D4-621D0F92C8A8}"/>
    <cellStyle name="Normal 9 5 5" xfId="1831" xr:uid="{00000000-0005-0000-0000-000067200000}"/>
    <cellStyle name="Normal 9 5 5 2" xfId="4061" xr:uid="{00000000-0005-0000-0000-000068200000}"/>
    <cellStyle name="Normal 9 5 5 2 2" xfId="8283" xr:uid="{00000000-0005-0000-0000-000069200000}"/>
    <cellStyle name="Normal 9 5 5 2 2 2" xfId="16733" xr:uid="{00BD77EC-D90F-4E2B-87E6-358080509142}"/>
    <cellStyle name="Normal 9 5 5 2 2 3" xfId="25180" xr:uid="{FE221AA3-75CB-4243-AC7F-14332FB08E86}"/>
    <cellStyle name="Normal 9 5 5 2 3" xfId="12515" xr:uid="{6C0B0AE9-8195-4418-BFEF-41A5901AA16E}"/>
    <cellStyle name="Normal 9 5 5 2 4" xfId="20963" xr:uid="{FB162439-0B76-4B14-A5BF-7F8C030E08DB}"/>
    <cellStyle name="Normal 9 5 5 3" xfId="6138" xr:uid="{00000000-0005-0000-0000-00006A200000}"/>
    <cellStyle name="Normal 9 5 5 3 2" xfId="14588" xr:uid="{0474265A-FB98-41C0-B6C8-AF0377F7042A}"/>
    <cellStyle name="Normal 9 5 5 3 3" xfId="23035" xr:uid="{C6606629-E9DA-4549-A9C4-90262D823159}"/>
    <cellStyle name="Normal 9 5 5 4" xfId="10370" xr:uid="{16F77564-0288-4010-884A-7AC6F68AF120}"/>
    <cellStyle name="Normal 9 5 5 5" xfId="18818" xr:uid="{A8F8122F-B07C-493D-BE88-D7C297B66C2E}"/>
    <cellStyle name="Normal 9 5 6" xfId="2245" xr:uid="{00000000-0005-0000-0000-00006B200000}"/>
    <cellStyle name="Normal 9 5 6 2" xfId="4474" xr:uid="{00000000-0005-0000-0000-00006C200000}"/>
    <cellStyle name="Normal 9 5 6 2 2" xfId="8696" xr:uid="{00000000-0005-0000-0000-00006D200000}"/>
    <cellStyle name="Normal 9 5 6 2 2 2" xfId="17146" xr:uid="{357DB2EA-945D-4ED1-9906-42BA6AFA11C4}"/>
    <cellStyle name="Normal 9 5 6 2 2 3" xfId="25593" xr:uid="{A9303CB5-58C1-4528-B61A-62B3EE2B93B9}"/>
    <cellStyle name="Normal 9 5 6 2 3" xfId="12928" xr:uid="{D6245C93-9A33-47A3-8336-4EECB99AFE87}"/>
    <cellStyle name="Normal 9 5 6 2 4" xfId="21376" xr:uid="{2291B9A6-C10B-48E0-B0F3-7728A45A9EB2}"/>
    <cellStyle name="Normal 9 5 6 3" xfId="6551" xr:uid="{00000000-0005-0000-0000-00006E200000}"/>
    <cellStyle name="Normal 9 5 6 3 2" xfId="15001" xr:uid="{3D481042-D22A-4B06-85B8-A32054E1F8A4}"/>
    <cellStyle name="Normal 9 5 6 3 3" xfId="23448" xr:uid="{915BA12E-B4A2-4716-B89D-5538B3197E1F}"/>
    <cellStyle name="Normal 9 5 6 4" xfId="10783" xr:uid="{7719A775-2EC0-4C68-A2BC-977628164BD3}"/>
    <cellStyle name="Normal 9 5 6 5" xfId="19231" xr:uid="{781EE71C-573F-481C-8EAD-E561F2AE153E}"/>
    <cellStyle name="Normal 9 5 7" xfId="2681" xr:uid="{00000000-0005-0000-0000-00006F200000}"/>
    <cellStyle name="Normal 9 5 7 2" xfId="6964" xr:uid="{00000000-0005-0000-0000-000070200000}"/>
    <cellStyle name="Normal 9 5 7 2 2" xfId="15414" xr:uid="{77864A63-0656-455F-88B3-37AB0F0CA409}"/>
    <cellStyle name="Normal 9 5 7 2 3" xfId="23861" xr:uid="{05C6757C-40CF-4F5C-AD2F-FEE35BACF4D0}"/>
    <cellStyle name="Normal 9 5 7 3" xfId="11196" xr:uid="{116E21C7-A16E-4813-B20D-52333A72ED05}"/>
    <cellStyle name="Normal 9 5 7 4" xfId="19644" xr:uid="{18C1B073-EEB9-49BB-AD31-B44F09F73C56}"/>
    <cellStyle name="Normal 9 5 8" xfId="4899" xr:uid="{00000000-0005-0000-0000-000071200000}"/>
    <cellStyle name="Normal 9 5 8 2" xfId="13349" xr:uid="{CDC1B881-AD94-459E-BBEA-5118D0D485D4}"/>
    <cellStyle name="Normal 9 5 8 3" xfId="21796" xr:uid="{FE28C89C-59F2-410C-8000-EE65BFB36ED0}"/>
    <cellStyle name="Normal 9 5 9" xfId="9131" xr:uid="{35FDC1A9-3C99-4F54-B6D9-79D51C90476C}"/>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2 2 2" xfId="15909" xr:uid="{630FCEBE-A96B-4B13-8175-52D51BF98BD1}"/>
    <cellStyle name="Normal 9 6 2 2 2 3" xfId="24356" xr:uid="{8D08489A-5037-459D-BD1D-22BDA9D821C6}"/>
    <cellStyle name="Normal 9 6 2 2 3" xfId="11691" xr:uid="{A9668436-316E-4E9A-92DD-F0348EB056AC}"/>
    <cellStyle name="Normal 9 6 2 2 4" xfId="20139" xr:uid="{98A62B82-E528-4441-A24D-A3A4732BE189}"/>
    <cellStyle name="Normal 9 6 2 3" xfId="5314" xr:uid="{00000000-0005-0000-0000-000076200000}"/>
    <cellStyle name="Normal 9 6 2 3 2" xfId="13764" xr:uid="{83CEA7A1-5832-45C9-8CBD-A32A092DEA42}"/>
    <cellStyle name="Normal 9 6 2 3 3" xfId="22211" xr:uid="{A1D5A4DB-40E1-4AB4-8A90-DE64EC334F68}"/>
    <cellStyle name="Normal 9 6 2 4" xfId="9546" xr:uid="{5449EFC2-644E-4588-B5B2-E74F04AB2BBF}"/>
    <cellStyle name="Normal 9 6 2 5" xfId="17994" xr:uid="{B7ED2CBB-0521-4AA7-A0B1-130F1DB348CE}"/>
    <cellStyle name="Normal 9 6 3" xfId="1420" xr:uid="{00000000-0005-0000-0000-000077200000}"/>
    <cellStyle name="Normal 9 6 3 2" xfId="3650" xr:uid="{00000000-0005-0000-0000-000078200000}"/>
    <cellStyle name="Normal 9 6 3 2 2" xfId="7872" xr:uid="{00000000-0005-0000-0000-000079200000}"/>
    <cellStyle name="Normal 9 6 3 2 2 2" xfId="16322" xr:uid="{821EC812-0EEF-40FB-A7FF-EEFEC63BB29A}"/>
    <cellStyle name="Normal 9 6 3 2 2 3" xfId="24769" xr:uid="{38754A4A-1281-400A-AD5D-94F73BC51132}"/>
    <cellStyle name="Normal 9 6 3 2 3" xfId="12104" xr:uid="{AC9573B2-4E95-4305-A0D2-FF24AF930BC1}"/>
    <cellStyle name="Normal 9 6 3 2 4" xfId="20552" xr:uid="{227A8E77-F775-49DF-80F8-07296634AF5C}"/>
    <cellStyle name="Normal 9 6 3 3" xfId="5727" xr:uid="{00000000-0005-0000-0000-00007A200000}"/>
    <cellStyle name="Normal 9 6 3 3 2" xfId="14177" xr:uid="{38AA9C4A-3B76-4E93-9A08-9F0381FDBB0A}"/>
    <cellStyle name="Normal 9 6 3 3 3" xfId="22624" xr:uid="{D26B2CB0-E8E3-4C4B-9F3D-9D6DEFF6356B}"/>
    <cellStyle name="Normal 9 6 3 4" xfId="9959" xr:uid="{BD58B39D-6611-40E9-9AB6-E1D8E1383D90}"/>
    <cellStyle name="Normal 9 6 3 5" xfId="18407" xr:uid="{28FEA0CE-0090-4370-A8C4-0A1CDA83CF6D}"/>
    <cellStyle name="Normal 9 6 4" xfId="1833" xr:uid="{00000000-0005-0000-0000-00007B200000}"/>
    <cellStyle name="Normal 9 6 4 2" xfId="4063" xr:uid="{00000000-0005-0000-0000-00007C200000}"/>
    <cellStyle name="Normal 9 6 4 2 2" xfId="8285" xr:uid="{00000000-0005-0000-0000-00007D200000}"/>
    <cellStyle name="Normal 9 6 4 2 2 2" xfId="16735" xr:uid="{DDD73BC4-A316-4D5C-BD2E-3D0C2C72CBE9}"/>
    <cellStyle name="Normal 9 6 4 2 2 3" xfId="25182" xr:uid="{F78FF24F-BFBE-4A81-A2A0-31C8B7A58BEA}"/>
    <cellStyle name="Normal 9 6 4 2 3" xfId="12517" xr:uid="{172EBAE4-8B13-4D58-A18D-3F345097A437}"/>
    <cellStyle name="Normal 9 6 4 2 4" xfId="20965" xr:uid="{A3BCA6AA-158F-4F05-9F81-3CDCB75867DB}"/>
    <cellStyle name="Normal 9 6 4 3" xfId="6140" xr:uid="{00000000-0005-0000-0000-00007E200000}"/>
    <cellStyle name="Normal 9 6 4 3 2" xfId="14590" xr:uid="{8A62841E-854C-4A97-A90C-81560B9AF7A8}"/>
    <cellStyle name="Normal 9 6 4 3 3" xfId="23037" xr:uid="{4EE481F3-4F2B-4756-A626-B81251D27AEC}"/>
    <cellStyle name="Normal 9 6 4 4" xfId="10372" xr:uid="{4D1962FE-166F-4081-B01F-38629EB93D6C}"/>
    <cellStyle name="Normal 9 6 4 5" xfId="18820" xr:uid="{354024B1-6E51-4703-90CA-D21BC8ED94A7}"/>
    <cellStyle name="Normal 9 6 5" xfId="2247" xr:uid="{00000000-0005-0000-0000-00007F200000}"/>
    <cellStyle name="Normal 9 6 5 2" xfId="4476" xr:uid="{00000000-0005-0000-0000-000080200000}"/>
    <cellStyle name="Normal 9 6 5 2 2" xfId="8698" xr:uid="{00000000-0005-0000-0000-000081200000}"/>
    <cellStyle name="Normal 9 6 5 2 2 2" xfId="17148" xr:uid="{819D6E48-7D1B-4992-B6B8-E79AC90EE4B9}"/>
    <cellStyle name="Normal 9 6 5 2 2 3" xfId="25595" xr:uid="{BAE7CEA4-41D7-475C-AEBD-C399B1C2F399}"/>
    <cellStyle name="Normal 9 6 5 2 3" xfId="12930" xr:uid="{2A2FE597-A927-48B2-BBFB-28F517384D22}"/>
    <cellStyle name="Normal 9 6 5 2 4" xfId="21378" xr:uid="{5FB202F4-2823-4D0C-85A1-8F1788CBF6D4}"/>
    <cellStyle name="Normal 9 6 5 3" xfId="6553" xr:uid="{00000000-0005-0000-0000-000082200000}"/>
    <cellStyle name="Normal 9 6 5 3 2" xfId="15003" xr:uid="{9602B1F3-4462-4900-90AC-67F140B176AB}"/>
    <cellStyle name="Normal 9 6 5 3 3" xfId="23450" xr:uid="{BC428F04-8742-4DFC-BC87-C5905175168F}"/>
    <cellStyle name="Normal 9 6 5 4" xfId="10785" xr:uid="{5FE9A6E7-DF38-4C63-95C6-36A2118B75CB}"/>
    <cellStyle name="Normal 9 6 5 5" xfId="19233" xr:uid="{389CC0AC-BCBB-4427-B84C-9E9B2E3BEBBD}"/>
    <cellStyle name="Normal 9 6 6" xfId="2683" xr:uid="{00000000-0005-0000-0000-000083200000}"/>
    <cellStyle name="Normal 9 6 6 2" xfId="6966" xr:uid="{00000000-0005-0000-0000-000084200000}"/>
    <cellStyle name="Normal 9 6 6 2 2" xfId="15416" xr:uid="{D9608B8B-A839-4881-B302-931FE649A39D}"/>
    <cellStyle name="Normal 9 6 6 2 3" xfId="23863" xr:uid="{4222280B-B0CE-4149-9949-70496CE73A44}"/>
    <cellStyle name="Normal 9 6 6 3" xfId="11198" xr:uid="{868F8912-4D53-4E4E-83A8-59A28F7DB2A5}"/>
    <cellStyle name="Normal 9 6 6 4" xfId="19646" xr:uid="{A65BA3FE-D5C4-4D85-AB97-DDBFBD78773A}"/>
    <cellStyle name="Normal 9 6 7" xfId="4901" xr:uid="{00000000-0005-0000-0000-000085200000}"/>
    <cellStyle name="Normal 9 6 7 2" xfId="13351" xr:uid="{0CD6077D-89FC-4F61-971A-308875EBD2CE}"/>
    <cellStyle name="Normal 9 6 7 3" xfId="21798" xr:uid="{42F18388-B9B3-42D0-9DD5-C6C79DDCB0C2}"/>
    <cellStyle name="Normal 9 6 8" xfId="9133" xr:uid="{9EF1AF51-D68F-4872-814E-393256E4FE25}"/>
    <cellStyle name="Normal 9 6 9" xfId="17581" xr:uid="{D72F902C-0467-4B22-BF3F-C953ECF2487F}"/>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0 2 2" xfId="15497" xr:uid="{B1958058-1E81-4F71-9ACD-20BB29B1B9CB}"/>
    <cellStyle name="Note 2 2 10 2 3" xfId="23944" xr:uid="{718BED8B-0C0F-4EDA-92BE-EDB6337FCA59}"/>
    <cellStyle name="Note 2 2 10 3" xfId="11279" xr:uid="{EE9699E4-6156-4B88-A1CE-E80BECD0AFFB}"/>
    <cellStyle name="Note 2 2 10 4" xfId="19727" xr:uid="{020A71BD-D60E-4C02-B24F-17ECB7F703DC}"/>
    <cellStyle name="Note 2 2 11" xfId="4902" xr:uid="{00000000-0005-0000-0000-000094200000}"/>
    <cellStyle name="Note 2 2 11 2" xfId="13352" xr:uid="{C33702F8-7691-4BA0-A9B0-019DB02C08D1}"/>
    <cellStyle name="Note 2 2 11 3" xfId="21799" xr:uid="{179F3663-014D-4ACC-BDE0-756EDFF5BDF2}"/>
    <cellStyle name="Note 2 2 12" xfId="9134" xr:uid="{7FD9B72D-B13E-47EA-BC51-C5BFFCC9CDA2}"/>
    <cellStyle name="Note 2 2 13" xfId="17582" xr:uid="{2916A18C-BAFA-4167-B041-09D70C3CD38E}"/>
    <cellStyle name="Note 2 2 2" xfId="546" xr:uid="{00000000-0005-0000-0000-000095200000}"/>
    <cellStyle name="Note 2 2 2 10" xfId="4903" xr:uid="{00000000-0005-0000-0000-000096200000}"/>
    <cellStyle name="Note 2 2 2 10 2" xfId="13353" xr:uid="{8AC81A1D-9CE9-4A4D-8750-339DF6D7EFBA}"/>
    <cellStyle name="Note 2 2 2 10 3" xfId="21800" xr:uid="{79170B1C-6202-4CF4-AA69-D0C543555069}"/>
    <cellStyle name="Note 2 2 2 11" xfId="9135" xr:uid="{9BE1B7E4-A261-49A3-8D1A-8F2C9D977540}"/>
    <cellStyle name="Note 2 2 2 12" xfId="17583" xr:uid="{0EB58DFD-93FD-4943-BCC9-E20353098E6D}"/>
    <cellStyle name="Note 2 2 2 2" xfId="547" xr:uid="{00000000-0005-0000-0000-000097200000}"/>
    <cellStyle name="Note 2 2 2 2 10" xfId="9136" xr:uid="{DD202CC3-C67B-446B-BD7F-213387E69FD8}"/>
    <cellStyle name="Note 2 2 2 2 11" xfId="17584" xr:uid="{757357E8-1C32-45E9-8862-9822E5988C59}"/>
    <cellStyle name="Note 2 2 2 2 2" xfId="1008" xr:uid="{00000000-0005-0000-0000-000098200000}"/>
    <cellStyle name="Note 2 2 2 2 2 2" xfId="3240" xr:uid="{00000000-0005-0000-0000-000099200000}"/>
    <cellStyle name="Note 2 2 2 2 2 2 2" xfId="7462" xr:uid="{00000000-0005-0000-0000-00009A200000}"/>
    <cellStyle name="Note 2 2 2 2 2 2 2 2" xfId="15912" xr:uid="{5952B0AB-C661-4440-80A1-78111E863865}"/>
    <cellStyle name="Note 2 2 2 2 2 2 2 3" xfId="24359" xr:uid="{847D70C5-6D30-4143-8058-86E7B7B7DCF9}"/>
    <cellStyle name="Note 2 2 2 2 2 2 3" xfId="11694" xr:uid="{6FEA910F-5D71-4A78-88AC-08D1E6603E65}"/>
    <cellStyle name="Note 2 2 2 2 2 2 4" xfId="20142" xr:uid="{13405936-9C77-4070-BFCE-E9A8A48BB28F}"/>
    <cellStyle name="Note 2 2 2 2 2 3" xfId="5317" xr:uid="{00000000-0005-0000-0000-00009B200000}"/>
    <cellStyle name="Note 2 2 2 2 2 3 2" xfId="13767" xr:uid="{73FD0BDE-DC16-4FCD-82EE-743C5DFD17A7}"/>
    <cellStyle name="Note 2 2 2 2 2 3 3" xfId="22214" xr:uid="{534D4069-3A3F-4A7D-8967-145426676FA9}"/>
    <cellStyle name="Note 2 2 2 2 2 4" xfId="9549" xr:uid="{D1CF30B9-0EEC-4F11-BC8A-3A66AF3A9EFF}"/>
    <cellStyle name="Note 2 2 2 2 2 5" xfId="17997" xr:uid="{70B67432-7815-420B-A65B-CBCBC84DF6E3}"/>
    <cellStyle name="Note 2 2 2 2 3" xfId="1423" xr:uid="{00000000-0005-0000-0000-00009C200000}"/>
    <cellStyle name="Note 2 2 2 2 3 2" xfId="3653" xr:uid="{00000000-0005-0000-0000-00009D200000}"/>
    <cellStyle name="Note 2 2 2 2 3 2 2" xfId="7875" xr:uid="{00000000-0005-0000-0000-00009E200000}"/>
    <cellStyle name="Note 2 2 2 2 3 2 2 2" xfId="16325" xr:uid="{B3F7B591-31D6-47C3-A7E9-1169E750E9DE}"/>
    <cellStyle name="Note 2 2 2 2 3 2 2 3" xfId="24772" xr:uid="{2FCEF8C7-0C37-476E-AC31-27EE9BC44A06}"/>
    <cellStyle name="Note 2 2 2 2 3 2 3" xfId="12107" xr:uid="{B4BA238D-8ED1-45D9-B068-DC2A50D4282D}"/>
    <cellStyle name="Note 2 2 2 2 3 2 4" xfId="20555" xr:uid="{5BB6029D-C3AA-417F-98A7-384B2F221C58}"/>
    <cellStyle name="Note 2 2 2 2 3 3" xfId="5730" xr:uid="{00000000-0005-0000-0000-00009F200000}"/>
    <cellStyle name="Note 2 2 2 2 3 3 2" xfId="14180" xr:uid="{050E88A7-33AB-4686-9C87-1BAAFC8E2F54}"/>
    <cellStyle name="Note 2 2 2 2 3 3 3" xfId="22627" xr:uid="{CFC95BC1-FAEF-424F-A971-D7768314D531}"/>
    <cellStyle name="Note 2 2 2 2 3 4" xfId="9962" xr:uid="{55614E78-E3A9-4CF8-8707-C5914C3F6F91}"/>
    <cellStyle name="Note 2 2 2 2 3 5" xfId="18410" xr:uid="{A3C74CA3-1734-417C-87CD-46E4FD76B0EB}"/>
    <cellStyle name="Note 2 2 2 2 4" xfId="1837" xr:uid="{00000000-0005-0000-0000-0000A0200000}"/>
    <cellStyle name="Note 2 2 2 2 4 2" xfId="4066" xr:uid="{00000000-0005-0000-0000-0000A1200000}"/>
    <cellStyle name="Note 2 2 2 2 4 2 2" xfId="8288" xr:uid="{00000000-0005-0000-0000-0000A2200000}"/>
    <cellStyle name="Note 2 2 2 2 4 2 2 2" xfId="16738" xr:uid="{BA4F30B2-91DE-44DE-900E-C3D31DBD5436}"/>
    <cellStyle name="Note 2 2 2 2 4 2 2 3" xfId="25185" xr:uid="{A4D61872-F1AF-4636-B796-459C641E6EE4}"/>
    <cellStyle name="Note 2 2 2 2 4 2 3" xfId="12520" xr:uid="{2C14046D-3E51-4F36-AB2B-77F668FE7881}"/>
    <cellStyle name="Note 2 2 2 2 4 2 4" xfId="20968" xr:uid="{CC63E502-38E1-4CAD-92A1-773CF3601B3B}"/>
    <cellStyle name="Note 2 2 2 2 4 3" xfId="6143" xr:uid="{00000000-0005-0000-0000-0000A3200000}"/>
    <cellStyle name="Note 2 2 2 2 4 3 2" xfId="14593" xr:uid="{38FFA54E-D100-4250-AF3F-512BAFC49A2D}"/>
    <cellStyle name="Note 2 2 2 2 4 3 3" xfId="23040" xr:uid="{BF1E7955-7DCA-4E82-8DC0-B099EDDB0A63}"/>
    <cellStyle name="Note 2 2 2 2 4 4" xfId="10375" xr:uid="{B7586B80-51C4-4380-BED1-BE3D58F6F6B6}"/>
    <cellStyle name="Note 2 2 2 2 4 5" xfId="18823" xr:uid="{6C621D52-DDA6-4693-AA59-7449775A54F2}"/>
    <cellStyle name="Note 2 2 2 2 5" xfId="2250" xr:uid="{00000000-0005-0000-0000-0000A4200000}"/>
    <cellStyle name="Note 2 2 2 2 5 2" xfId="4479" xr:uid="{00000000-0005-0000-0000-0000A5200000}"/>
    <cellStyle name="Note 2 2 2 2 5 2 2" xfId="8701" xr:uid="{00000000-0005-0000-0000-0000A6200000}"/>
    <cellStyle name="Note 2 2 2 2 5 2 2 2" xfId="17151" xr:uid="{7446F794-F624-408B-B581-A27FFF734A4A}"/>
    <cellStyle name="Note 2 2 2 2 5 2 2 3" xfId="25598" xr:uid="{233DBBD0-8C4E-4BC3-B445-21832FFAFD4E}"/>
    <cellStyle name="Note 2 2 2 2 5 2 3" xfId="12933" xr:uid="{488A70D1-A3B1-4D27-99FD-D6FB7226091A}"/>
    <cellStyle name="Note 2 2 2 2 5 2 4" xfId="21381" xr:uid="{37287A2B-12C7-4B0B-96AC-21A9918F5366}"/>
    <cellStyle name="Note 2 2 2 2 5 3" xfId="6556" xr:uid="{00000000-0005-0000-0000-0000A7200000}"/>
    <cellStyle name="Note 2 2 2 2 5 3 2" xfId="15006" xr:uid="{5049F5D0-C2E0-4163-A26E-90A19E3E6F74}"/>
    <cellStyle name="Note 2 2 2 2 5 3 3" xfId="23453" xr:uid="{FB69BE4D-1E50-417E-8B29-D10D18D91C06}"/>
    <cellStyle name="Note 2 2 2 2 5 4" xfId="10788" xr:uid="{8A7DFA3A-9C38-4F61-AEC0-368A5E084C5C}"/>
    <cellStyle name="Note 2 2 2 2 5 5" xfId="19236" xr:uid="{D237A346-BAF0-4C50-95A1-6A5F84E010E9}"/>
    <cellStyle name="Note 2 2 2 2 6" xfId="2686" xr:uid="{00000000-0005-0000-0000-0000A8200000}"/>
    <cellStyle name="Note 2 2 2 2 6 2" xfId="6969" xr:uid="{00000000-0005-0000-0000-0000A9200000}"/>
    <cellStyle name="Note 2 2 2 2 6 2 2" xfId="15419" xr:uid="{EEFD730F-D5E3-46D9-AEA1-A60F7754280C}"/>
    <cellStyle name="Note 2 2 2 2 6 2 3" xfId="23866" xr:uid="{B244B508-656B-4B40-8828-1E82BA8B9BBF}"/>
    <cellStyle name="Note 2 2 2 2 6 3" xfId="11201" xr:uid="{CD16C643-BFF3-49D1-A7C5-96739E5B9701}"/>
    <cellStyle name="Note 2 2 2 2 6 4" xfId="19649" xr:uid="{17C64080-EFB4-4615-823B-FF480B5305E0}"/>
    <cellStyle name="Note 2 2 2 2 7" xfId="2745" xr:uid="{00000000-0005-0000-0000-0000AA200000}"/>
    <cellStyle name="Note 2 2 2 2 8" xfId="2826" xr:uid="{00000000-0005-0000-0000-0000AB200000}"/>
    <cellStyle name="Note 2 2 2 2 8 2" xfId="7049" xr:uid="{00000000-0005-0000-0000-0000AC200000}"/>
    <cellStyle name="Note 2 2 2 2 8 2 2" xfId="15499" xr:uid="{ACA5380C-19C9-45CC-8947-9FD4E0EADD1C}"/>
    <cellStyle name="Note 2 2 2 2 8 2 3" xfId="23946" xr:uid="{21A0FA35-A568-4F74-890C-1429A1402C29}"/>
    <cellStyle name="Note 2 2 2 2 8 3" xfId="11281" xr:uid="{EA363A05-DFDC-49F8-A645-F5646FA7DD2C}"/>
    <cellStyle name="Note 2 2 2 2 8 4" xfId="19729" xr:uid="{C2D3DEBB-D61E-4267-BA53-00127779C282}"/>
    <cellStyle name="Note 2 2 2 2 9" xfId="4904" xr:uid="{00000000-0005-0000-0000-0000AD200000}"/>
    <cellStyle name="Note 2 2 2 2 9 2" xfId="13354" xr:uid="{BB0FDEC5-E29D-44C0-8421-A4831E8A1A73}"/>
    <cellStyle name="Note 2 2 2 2 9 3" xfId="21801" xr:uid="{0E9B2614-6F9D-4A7F-A462-5157E6E48A5A}"/>
    <cellStyle name="Note 2 2 2 3" xfId="1007" xr:uid="{00000000-0005-0000-0000-0000AE200000}"/>
    <cellStyle name="Note 2 2 2 3 2" xfId="3239" xr:uid="{00000000-0005-0000-0000-0000AF200000}"/>
    <cellStyle name="Note 2 2 2 3 2 2" xfId="7461" xr:uid="{00000000-0005-0000-0000-0000B0200000}"/>
    <cellStyle name="Note 2 2 2 3 2 2 2" xfId="15911" xr:uid="{EF359908-C992-4B1E-BCBE-37891525F9C3}"/>
    <cellStyle name="Note 2 2 2 3 2 2 3" xfId="24358" xr:uid="{66C03D96-7A08-4C63-B251-2DF4B9749869}"/>
    <cellStyle name="Note 2 2 2 3 2 3" xfId="11693" xr:uid="{5302077E-6C49-4D24-B508-E88FC6B219B4}"/>
    <cellStyle name="Note 2 2 2 3 2 4" xfId="20141" xr:uid="{792DDB87-8D0C-4196-A775-A1F44589D643}"/>
    <cellStyle name="Note 2 2 2 3 3" xfId="5316" xr:uid="{00000000-0005-0000-0000-0000B1200000}"/>
    <cellStyle name="Note 2 2 2 3 3 2" xfId="13766" xr:uid="{A0171D9B-A162-40BD-8D2C-ABF7F7DD23F1}"/>
    <cellStyle name="Note 2 2 2 3 3 3" xfId="22213" xr:uid="{3D1F1DA2-641A-408F-8E7A-3B1B919B4A65}"/>
    <cellStyle name="Note 2 2 2 3 4" xfId="9548" xr:uid="{397A0015-8418-49F1-BAC4-63D2BCB6CA65}"/>
    <cellStyle name="Note 2 2 2 3 5" xfId="17996" xr:uid="{952E61C2-D1EA-48F0-890B-08F54AA09958}"/>
    <cellStyle name="Note 2 2 2 4" xfId="1422" xr:uid="{00000000-0005-0000-0000-0000B2200000}"/>
    <cellStyle name="Note 2 2 2 4 2" xfId="3652" xr:uid="{00000000-0005-0000-0000-0000B3200000}"/>
    <cellStyle name="Note 2 2 2 4 2 2" xfId="7874" xr:uid="{00000000-0005-0000-0000-0000B4200000}"/>
    <cellStyle name="Note 2 2 2 4 2 2 2" xfId="16324" xr:uid="{5A58F648-99B7-4880-A70F-360201955AC4}"/>
    <cellStyle name="Note 2 2 2 4 2 2 3" xfId="24771" xr:uid="{025788FC-C1A5-4E89-BA32-2BB051F6B055}"/>
    <cellStyle name="Note 2 2 2 4 2 3" xfId="12106" xr:uid="{09C9DD18-A9B5-4131-B736-F5BBB9526CA9}"/>
    <cellStyle name="Note 2 2 2 4 2 4" xfId="20554" xr:uid="{ED12FFB3-CBC6-4C37-9881-F8B38AAAD2E4}"/>
    <cellStyle name="Note 2 2 2 4 3" xfId="5729" xr:uid="{00000000-0005-0000-0000-0000B5200000}"/>
    <cellStyle name="Note 2 2 2 4 3 2" xfId="14179" xr:uid="{25FDE791-5A1F-4485-97CB-D2E30F306892}"/>
    <cellStyle name="Note 2 2 2 4 3 3" xfId="22626" xr:uid="{6A22289E-BF6D-4F70-9AB2-33E76E5CB1EB}"/>
    <cellStyle name="Note 2 2 2 4 4" xfId="9961" xr:uid="{B1DF5F0F-1AC5-4852-A1E3-4D49EBB90742}"/>
    <cellStyle name="Note 2 2 2 4 5" xfId="18409" xr:uid="{D82BBA39-D441-4107-A8B6-CF4A9D734C80}"/>
    <cellStyle name="Note 2 2 2 5" xfId="1836" xr:uid="{00000000-0005-0000-0000-0000B6200000}"/>
    <cellStyle name="Note 2 2 2 5 2" xfId="4065" xr:uid="{00000000-0005-0000-0000-0000B7200000}"/>
    <cellStyle name="Note 2 2 2 5 2 2" xfId="8287" xr:uid="{00000000-0005-0000-0000-0000B8200000}"/>
    <cellStyle name="Note 2 2 2 5 2 2 2" xfId="16737" xr:uid="{512624A7-AE65-4CCE-8C2B-80EE08D23CEA}"/>
    <cellStyle name="Note 2 2 2 5 2 2 3" xfId="25184" xr:uid="{161512CB-9AEB-4C8D-8F61-954E0DBC7160}"/>
    <cellStyle name="Note 2 2 2 5 2 3" xfId="12519" xr:uid="{7AADAC4B-4E0E-4A3E-8535-C022F2BCD6B5}"/>
    <cellStyle name="Note 2 2 2 5 2 4" xfId="20967" xr:uid="{1F89CE02-0C38-49CD-AC86-C6B8117495DC}"/>
    <cellStyle name="Note 2 2 2 5 3" xfId="6142" xr:uid="{00000000-0005-0000-0000-0000B9200000}"/>
    <cellStyle name="Note 2 2 2 5 3 2" xfId="14592" xr:uid="{2EF0C0DE-9BC0-474D-A935-3B32C29AB7A4}"/>
    <cellStyle name="Note 2 2 2 5 3 3" xfId="23039" xr:uid="{44E1C82E-4EF3-4886-933C-C3ACDDC13A6B}"/>
    <cellStyle name="Note 2 2 2 5 4" xfId="10374" xr:uid="{9B7B5C56-A349-4615-AE7A-2DB3CA7F5879}"/>
    <cellStyle name="Note 2 2 2 5 5" xfId="18822" xr:uid="{C009CF3D-82E9-4B34-9204-CAF67E3334D5}"/>
    <cellStyle name="Note 2 2 2 6" xfId="2249" xr:uid="{00000000-0005-0000-0000-0000BA200000}"/>
    <cellStyle name="Note 2 2 2 6 2" xfId="4478" xr:uid="{00000000-0005-0000-0000-0000BB200000}"/>
    <cellStyle name="Note 2 2 2 6 2 2" xfId="8700" xr:uid="{00000000-0005-0000-0000-0000BC200000}"/>
    <cellStyle name="Note 2 2 2 6 2 2 2" xfId="17150" xr:uid="{75B85E77-22AE-4CFF-B19F-0108CE830B41}"/>
    <cellStyle name="Note 2 2 2 6 2 2 3" xfId="25597" xr:uid="{505F8C14-16D0-4195-A2E9-45FDC6948A8F}"/>
    <cellStyle name="Note 2 2 2 6 2 3" xfId="12932" xr:uid="{8B8B7DC7-EB62-451F-A6CF-40F690A58EEC}"/>
    <cellStyle name="Note 2 2 2 6 2 4" xfId="21380" xr:uid="{4C5A8F68-7C7A-4EB4-810B-893ADFEE0C01}"/>
    <cellStyle name="Note 2 2 2 6 3" xfId="6555" xr:uid="{00000000-0005-0000-0000-0000BD200000}"/>
    <cellStyle name="Note 2 2 2 6 3 2" xfId="15005" xr:uid="{B0C14AB7-415C-489A-B8B4-70FB4AB26072}"/>
    <cellStyle name="Note 2 2 2 6 3 3" xfId="23452" xr:uid="{B36D8E22-4BBB-4A55-AD7B-4A2290F0B0D5}"/>
    <cellStyle name="Note 2 2 2 6 4" xfId="10787" xr:uid="{E513FF7A-425C-4FA7-AD3F-488768EE1EE4}"/>
    <cellStyle name="Note 2 2 2 6 5" xfId="19235" xr:uid="{9574DDB6-75DF-46A5-BADE-E98077806563}"/>
    <cellStyle name="Note 2 2 2 7" xfId="2685" xr:uid="{00000000-0005-0000-0000-0000BE200000}"/>
    <cellStyle name="Note 2 2 2 7 2" xfId="6968" xr:uid="{00000000-0005-0000-0000-0000BF200000}"/>
    <cellStyle name="Note 2 2 2 7 2 2" xfId="15418" xr:uid="{7D900ADE-3635-4684-9113-BADBFCAD0883}"/>
    <cellStyle name="Note 2 2 2 7 2 3" xfId="23865" xr:uid="{6CC0C96D-A32D-4C7A-91EF-A856336803C5}"/>
    <cellStyle name="Note 2 2 2 7 3" xfId="11200" xr:uid="{BDFCE907-C59E-40E5-BC83-925CD7C46F5C}"/>
    <cellStyle name="Note 2 2 2 7 4" xfId="19648" xr:uid="{7D91D7C6-7007-4DAF-8AE7-BD3765F6305C}"/>
    <cellStyle name="Note 2 2 2 8" xfId="2744" xr:uid="{00000000-0005-0000-0000-0000C0200000}"/>
    <cellStyle name="Note 2 2 2 9" xfId="2825" xr:uid="{00000000-0005-0000-0000-0000C1200000}"/>
    <cellStyle name="Note 2 2 2 9 2" xfId="7048" xr:uid="{00000000-0005-0000-0000-0000C2200000}"/>
    <cellStyle name="Note 2 2 2 9 2 2" xfId="15498" xr:uid="{83CADB03-6456-42B3-AD4D-B91BBBAAA37C}"/>
    <cellStyle name="Note 2 2 2 9 2 3" xfId="23945" xr:uid="{1B96C309-13B0-405B-9840-283AD1A603C3}"/>
    <cellStyle name="Note 2 2 2 9 3" xfId="11280" xr:uid="{3ACA2767-B872-4280-9378-8D39AD5939E0}"/>
    <cellStyle name="Note 2 2 2 9 4" xfId="19728" xr:uid="{7510729A-89A4-49E9-83F6-D34B5C17E6E0}"/>
    <cellStyle name="Note 2 2 3" xfId="548" xr:uid="{00000000-0005-0000-0000-0000C3200000}"/>
    <cellStyle name="Note 2 2 3 10" xfId="9137" xr:uid="{C93D38D8-503E-40B7-A3F2-A69D114274AD}"/>
    <cellStyle name="Note 2 2 3 11" xfId="17585" xr:uid="{77A8B5EB-43FF-4E78-98CE-BA3976D0B77E}"/>
    <cellStyle name="Note 2 2 3 2" xfId="1009" xr:uid="{00000000-0005-0000-0000-0000C4200000}"/>
    <cellStyle name="Note 2 2 3 2 2" xfId="3241" xr:uid="{00000000-0005-0000-0000-0000C5200000}"/>
    <cellStyle name="Note 2 2 3 2 2 2" xfId="7463" xr:uid="{00000000-0005-0000-0000-0000C6200000}"/>
    <cellStyle name="Note 2 2 3 2 2 2 2" xfId="15913" xr:uid="{A1750451-B790-447E-B902-7B508D39207F}"/>
    <cellStyle name="Note 2 2 3 2 2 2 3" xfId="24360" xr:uid="{84E7F707-FE6E-46CD-A12F-C147584C374E}"/>
    <cellStyle name="Note 2 2 3 2 2 3" xfId="11695" xr:uid="{8F073DC2-F898-484C-8469-EECB9E433C2C}"/>
    <cellStyle name="Note 2 2 3 2 2 4" xfId="20143" xr:uid="{D1D31F01-8992-4E2E-AB7D-35F6AA199473}"/>
    <cellStyle name="Note 2 2 3 2 3" xfId="5318" xr:uid="{00000000-0005-0000-0000-0000C7200000}"/>
    <cellStyle name="Note 2 2 3 2 3 2" xfId="13768" xr:uid="{463FC455-594B-4CDC-8D6F-51275A4637B4}"/>
    <cellStyle name="Note 2 2 3 2 3 3" xfId="22215" xr:uid="{1615FD2C-F3F5-4E9A-B597-EE152F24DB3A}"/>
    <cellStyle name="Note 2 2 3 2 4" xfId="9550" xr:uid="{BA2CAB06-1F19-4225-B695-5491634C81A0}"/>
    <cellStyle name="Note 2 2 3 2 5" xfId="17998" xr:uid="{1C5DDB6D-D58E-4AEA-A857-93A4F2AD6411}"/>
    <cellStyle name="Note 2 2 3 3" xfId="1424" xr:uid="{00000000-0005-0000-0000-0000C8200000}"/>
    <cellStyle name="Note 2 2 3 3 2" xfId="3654" xr:uid="{00000000-0005-0000-0000-0000C9200000}"/>
    <cellStyle name="Note 2 2 3 3 2 2" xfId="7876" xr:uid="{00000000-0005-0000-0000-0000CA200000}"/>
    <cellStyle name="Note 2 2 3 3 2 2 2" xfId="16326" xr:uid="{6D4F94B0-D9D9-4423-9A55-393F68DC16A2}"/>
    <cellStyle name="Note 2 2 3 3 2 2 3" xfId="24773" xr:uid="{8839BF77-AC40-4849-9326-83DDB4A67086}"/>
    <cellStyle name="Note 2 2 3 3 2 3" xfId="12108" xr:uid="{AB2850FD-B676-4132-B94D-A97E67BA1474}"/>
    <cellStyle name="Note 2 2 3 3 2 4" xfId="20556" xr:uid="{B3234258-9AFD-4C08-B134-123632AD5D8E}"/>
    <cellStyle name="Note 2 2 3 3 3" xfId="5731" xr:uid="{00000000-0005-0000-0000-0000CB200000}"/>
    <cellStyle name="Note 2 2 3 3 3 2" xfId="14181" xr:uid="{D71B7C99-868E-4ECD-84A2-8F072B85D3B9}"/>
    <cellStyle name="Note 2 2 3 3 3 3" xfId="22628" xr:uid="{9EC59531-F3C2-4686-9D64-491F7A1C6A27}"/>
    <cellStyle name="Note 2 2 3 3 4" xfId="9963" xr:uid="{C77FA496-45F3-4007-8CC1-958C215D59B2}"/>
    <cellStyle name="Note 2 2 3 3 5" xfId="18411" xr:uid="{6BFC1B7C-359F-46DB-8AB9-00D9F204B22B}"/>
    <cellStyle name="Note 2 2 3 4" xfId="1838" xr:uid="{00000000-0005-0000-0000-0000CC200000}"/>
    <cellStyle name="Note 2 2 3 4 2" xfId="4067" xr:uid="{00000000-0005-0000-0000-0000CD200000}"/>
    <cellStyle name="Note 2 2 3 4 2 2" xfId="8289" xr:uid="{00000000-0005-0000-0000-0000CE200000}"/>
    <cellStyle name="Note 2 2 3 4 2 2 2" xfId="16739" xr:uid="{C9879A62-0F5F-49DE-9094-F87E112E46F8}"/>
    <cellStyle name="Note 2 2 3 4 2 2 3" xfId="25186" xr:uid="{2D695836-00FD-409B-85D4-1CE2148D263F}"/>
    <cellStyle name="Note 2 2 3 4 2 3" xfId="12521" xr:uid="{8456965C-DCD7-4858-9C7E-509DD10A12F7}"/>
    <cellStyle name="Note 2 2 3 4 2 4" xfId="20969" xr:uid="{45B3E6A3-C139-4BF1-9F48-479412F7E5FB}"/>
    <cellStyle name="Note 2 2 3 4 3" xfId="6144" xr:uid="{00000000-0005-0000-0000-0000CF200000}"/>
    <cellStyle name="Note 2 2 3 4 3 2" xfId="14594" xr:uid="{4ECF159F-A0F9-488E-BCBD-0F60295CC826}"/>
    <cellStyle name="Note 2 2 3 4 3 3" xfId="23041" xr:uid="{83BA3480-CDA4-4705-B1FC-C3BDC72927F4}"/>
    <cellStyle name="Note 2 2 3 4 4" xfId="10376" xr:uid="{29C5B8F2-026D-452D-8205-25FCF1743DE4}"/>
    <cellStyle name="Note 2 2 3 4 5" xfId="18824" xr:uid="{FB02C66D-52F2-4798-AEFC-B6E43906D3E3}"/>
    <cellStyle name="Note 2 2 3 5" xfId="2251" xr:uid="{00000000-0005-0000-0000-0000D0200000}"/>
    <cellStyle name="Note 2 2 3 5 2" xfId="4480" xr:uid="{00000000-0005-0000-0000-0000D1200000}"/>
    <cellStyle name="Note 2 2 3 5 2 2" xfId="8702" xr:uid="{00000000-0005-0000-0000-0000D2200000}"/>
    <cellStyle name="Note 2 2 3 5 2 2 2" xfId="17152" xr:uid="{FEF76377-8162-440C-BF35-88B9E14A4703}"/>
    <cellStyle name="Note 2 2 3 5 2 2 3" xfId="25599" xr:uid="{54833EDE-23D9-496B-B66D-8ECE8248576C}"/>
    <cellStyle name="Note 2 2 3 5 2 3" xfId="12934" xr:uid="{23C8172A-C5E4-4D53-8580-C9C95D2ED0DA}"/>
    <cellStyle name="Note 2 2 3 5 2 4" xfId="21382" xr:uid="{B6C8A4F5-BA87-4290-A951-0603CDDB6096}"/>
    <cellStyle name="Note 2 2 3 5 3" xfId="6557" xr:uid="{00000000-0005-0000-0000-0000D3200000}"/>
    <cellStyle name="Note 2 2 3 5 3 2" xfId="15007" xr:uid="{B57FC7A0-FF2D-4C51-819B-396488B9D6D1}"/>
    <cellStyle name="Note 2 2 3 5 3 3" xfId="23454" xr:uid="{A5DBC331-1065-450B-A64B-2112DC16CB93}"/>
    <cellStyle name="Note 2 2 3 5 4" xfId="10789" xr:uid="{8FD52058-17C9-41C8-975E-7630EDCF9C79}"/>
    <cellStyle name="Note 2 2 3 5 5" xfId="19237" xr:uid="{4AB79CFD-C067-4B09-B3AB-47B5363682A5}"/>
    <cellStyle name="Note 2 2 3 6" xfId="2687" xr:uid="{00000000-0005-0000-0000-0000D4200000}"/>
    <cellStyle name="Note 2 2 3 6 2" xfId="6970" xr:uid="{00000000-0005-0000-0000-0000D5200000}"/>
    <cellStyle name="Note 2 2 3 6 2 2" xfId="15420" xr:uid="{92870948-5631-4876-A8B8-21FB133838F0}"/>
    <cellStyle name="Note 2 2 3 6 2 3" xfId="23867" xr:uid="{56519D66-9EDD-440A-AFB9-E3D268C243AD}"/>
    <cellStyle name="Note 2 2 3 6 3" xfId="11202" xr:uid="{71780C6D-950A-4F12-B796-505C5140A8FA}"/>
    <cellStyle name="Note 2 2 3 6 4" xfId="19650" xr:uid="{67EE6956-6341-443B-A09B-E440EBD76308}"/>
    <cellStyle name="Note 2 2 3 7" xfId="2746" xr:uid="{00000000-0005-0000-0000-0000D6200000}"/>
    <cellStyle name="Note 2 2 3 8" xfId="2827" xr:uid="{00000000-0005-0000-0000-0000D7200000}"/>
    <cellStyle name="Note 2 2 3 8 2" xfId="7050" xr:uid="{00000000-0005-0000-0000-0000D8200000}"/>
    <cellStyle name="Note 2 2 3 8 2 2" xfId="15500" xr:uid="{D2F619A7-3FFE-444A-A35D-1BEC5FFC5607}"/>
    <cellStyle name="Note 2 2 3 8 2 3" xfId="23947" xr:uid="{9044A6D0-F072-4176-B4BC-50AEA45C4C2E}"/>
    <cellStyle name="Note 2 2 3 8 3" xfId="11282" xr:uid="{1064247B-C93A-45E1-A996-2BAB036E1680}"/>
    <cellStyle name="Note 2 2 3 8 4" xfId="19730" xr:uid="{3C33AAC9-D9CD-44BA-B711-D34AA5735FDE}"/>
    <cellStyle name="Note 2 2 3 9" xfId="4905" xr:uid="{00000000-0005-0000-0000-0000D9200000}"/>
    <cellStyle name="Note 2 2 3 9 2" xfId="13355" xr:uid="{62D13729-58D6-4EFD-8323-53C1C522BD38}"/>
    <cellStyle name="Note 2 2 3 9 3" xfId="21802" xr:uid="{3924C8A1-50CA-4167-BBAC-70C676AA038A}"/>
    <cellStyle name="Note 2 2 4" xfId="1006" xr:uid="{00000000-0005-0000-0000-0000DA200000}"/>
    <cellStyle name="Note 2 2 4 2" xfId="3238" xr:uid="{00000000-0005-0000-0000-0000DB200000}"/>
    <cellStyle name="Note 2 2 4 2 2" xfId="7460" xr:uid="{00000000-0005-0000-0000-0000DC200000}"/>
    <cellStyle name="Note 2 2 4 2 2 2" xfId="15910" xr:uid="{1A6679E3-42CB-4789-83C2-DFB0666CC56C}"/>
    <cellStyle name="Note 2 2 4 2 2 3" xfId="24357" xr:uid="{F2FBFFF2-1686-45A4-8C25-C6096ED79AC0}"/>
    <cellStyle name="Note 2 2 4 2 3" xfId="11692" xr:uid="{29C1B1E8-90EE-43BF-8D26-CA56DCD969FA}"/>
    <cellStyle name="Note 2 2 4 2 4" xfId="20140" xr:uid="{544DD83D-CF4A-454F-ABF7-C8F42505888B}"/>
    <cellStyle name="Note 2 2 4 3" xfId="5315" xr:uid="{00000000-0005-0000-0000-0000DD200000}"/>
    <cellStyle name="Note 2 2 4 3 2" xfId="13765" xr:uid="{8172E1CF-6F67-491D-970F-E0716275B7CC}"/>
    <cellStyle name="Note 2 2 4 3 3" xfId="22212" xr:uid="{3DD47AE6-7932-457F-A335-DE49BF77CBEF}"/>
    <cellStyle name="Note 2 2 4 4" xfId="9547" xr:uid="{E12AC0D8-87EC-47AF-94C5-BA07AF6051CB}"/>
    <cellStyle name="Note 2 2 4 5" xfId="17995" xr:uid="{01F89CCA-421F-4C2F-A3D5-4B77DE1C6014}"/>
    <cellStyle name="Note 2 2 5" xfId="1421" xr:uid="{00000000-0005-0000-0000-0000DE200000}"/>
    <cellStyle name="Note 2 2 5 2" xfId="3651" xr:uid="{00000000-0005-0000-0000-0000DF200000}"/>
    <cellStyle name="Note 2 2 5 2 2" xfId="7873" xr:uid="{00000000-0005-0000-0000-0000E0200000}"/>
    <cellStyle name="Note 2 2 5 2 2 2" xfId="16323" xr:uid="{C4B93A5A-173E-4D1F-8316-12972688F83E}"/>
    <cellStyle name="Note 2 2 5 2 2 3" xfId="24770" xr:uid="{0A1F5E34-9266-46D3-9A71-078CAC4D7BE3}"/>
    <cellStyle name="Note 2 2 5 2 3" xfId="12105" xr:uid="{FDE45676-1617-4C5D-BA17-286094485E12}"/>
    <cellStyle name="Note 2 2 5 2 4" xfId="20553" xr:uid="{93B629D3-E9E9-4638-B6B7-6C3E65A8E680}"/>
    <cellStyle name="Note 2 2 5 3" xfId="5728" xr:uid="{00000000-0005-0000-0000-0000E1200000}"/>
    <cellStyle name="Note 2 2 5 3 2" xfId="14178" xr:uid="{47735F09-4B91-4A49-B368-F11EE7A88AB4}"/>
    <cellStyle name="Note 2 2 5 3 3" xfId="22625" xr:uid="{37AD01E0-9C72-4BA6-A20D-ED5B393A01A3}"/>
    <cellStyle name="Note 2 2 5 4" xfId="9960" xr:uid="{F15387D3-A383-4828-AE54-B2F4F556552D}"/>
    <cellStyle name="Note 2 2 5 5" xfId="18408" xr:uid="{CE8E280A-DC24-4B7F-9A29-E349FD8B4FD2}"/>
    <cellStyle name="Note 2 2 6" xfId="1835" xr:uid="{00000000-0005-0000-0000-0000E2200000}"/>
    <cellStyle name="Note 2 2 6 2" xfId="4064" xr:uid="{00000000-0005-0000-0000-0000E3200000}"/>
    <cellStyle name="Note 2 2 6 2 2" xfId="8286" xr:uid="{00000000-0005-0000-0000-0000E4200000}"/>
    <cellStyle name="Note 2 2 6 2 2 2" xfId="16736" xr:uid="{DCB8B0FC-AC32-4D9E-8E22-B7471DE3BF2E}"/>
    <cellStyle name="Note 2 2 6 2 2 3" xfId="25183" xr:uid="{3E62A31C-401C-43AF-B801-82C57A08371D}"/>
    <cellStyle name="Note 2 2 6 2 3" xfId="12518" xr:uid="{E0513CF1-2525-4C93-A332-51332DFC934E}"/>
    <cellStyle name="Note 2 2 6 2 4" xfId="20966" xr:uid="{B316F0D7-3F55-4446-96C9-C835A0B39578}"/>
    <cellStyle name="Note 2 2 6 3" xfId="6141" xr:uid="{00000000-0005-0000-0000-0000E5200000}"/>
    <cellStyle name="Note 2 2 6 3 2" xfId="14591" xr:uid="{5274279E-4543-4C4E-87BC-50E4B1F8A939}"/>
    <cellStyle name="Note 2 2 6 3 3" xfId="23038" xr:uid="{2C3811F5-F875-409F-B7D7-E52649E96C03}"/>
    <cellStyle name="Note 2 2 6 4" xfId="10373" xr:uid="{47BA4D86-B69C-434A-B4BE-91D41A074C2B}"/>
    <cellStyle name="Note 2 2 6 5" xfId="18821" xr:uid="{23D13702-10F4-492D-828F-7CF31698B771}"/>
    <cellStyle name="Note 2 2 7" xfId="2248" xr:uid="{00000000-0005-0000-0000-0000E6200000}"/>
    <cellStyle name="Note 2 2 7 2" xfId="4477" xr:uid="{00000000-0005-0000-0000-0000E7200000}"/>
    <cellStyle name="Note 2 2 7 2 2" xfId="8699" xr:uid="{00000000-0005-0000-0000-0000E8200000}"/>
    <cellStyle name="Note 2 2 7 2 2 2" xfId="17149" xr:uid="{F57D1FF1-885D-4368-BAD4-FE219D87C362}"/>
    <cellStyle name="Note 2 2 7 2 2 3" xfId="25596" xr:uid="{2D98DF4A-DF59-4B3E-8BF3-DE43ABF636A2}"/>
    <cellStyle name="Note 2 2 7 2 3" xfId="12931" xr:uid="{19A4E55F-4286-42B8-9F7A-6CD7A6A19562}"/>
    <cellStyle name="Note 2 2 7 2 4" xfId="21379" xr:uid="{058933B9-9358-493B-A60B-57FCC0FB5596}"/>
    <cellStyle name="Note 2 2 7 3" xfId="6554" xr:uid="{00000000-0005-0000-0000-0000E9200000}"/>
    <cellStyle name="Note 2 2 7 3 2" xfId="15004" xr:uid="{B4B7FC91-4717-4446-8C61-491684319454}"/>
    <cellStyle name="Note 2 2 7 3 3" xfId="23451" xr:uid="{78E6EA58-F1D9-445F-AD2E-D576A20BBD3F}"/>
    <cellStyle name="Note 2 2 7 4" xfId="10786" xr:uid="{A27DA60B-0557-4FBC-8DE8-A1E31C09F206}"/>
    <cellStyle name="Note 2 2 7 5" xfId="19234" xr:uid="{A63855F6-D22C-4421-BE1A-17DA070739C8}"/>
    <cellStyle name="Note 2 2 8" xfId="2684" xr:uid="{00000000-0005-0000-0000-0000EA200000}"/>
    <cellStyle name="Note 2 2 8 2" xfId="6967" xr:uid="{00000000-0005-0000-0000-0000EB200000}"/>
    <cellStyle name="Note 2 2 8 2 2" xfId="15417" xr:uid="{5DC0E06D-C697-45D4-A6A6-C212D5373B33}"/>
    <cellStyle name="Note 2 2 8 2 3" xfId="23864" xr:uid="{AB81E909-38E5-4111-8853-62F55BCE67A0}"/>
    <cellStyle name="Note 2 2 8 3" xfId="11199" xr:uid="{8E348A2F-6562-44CA-97B1-B89B1EA8333E}"/>
    <cellStyle name="Note 2 2 8 4" xfId="19647" xr:uid="{8CC68990-1128-4BDB-A5FA-CFEDDEF59B5B}"/>
    <cellStyle name="Note 2 2 9" xfId="2743" xr:uid="{00000000-0005-0000-0000-0000EC200000}"/>
    <cellStyle name="Note 2 3" xfId="549" xr:uid="{00000000-0005-0000-0000-0000ED200000}"/>
    <cellStyle name="Note 2 3 10" xfId="4906" xr:uid="{00000000-0005-0000-0000-0000EE200000}"/>
    <cellStyle name="Note 2 3 10 2" xfId="13356" xr:uid="{0056FA56-97B6-482E-B51B-C38E77A72A43}"/>
    <cellStyle name="Note 2 3 10 3" xfId="21803" xr:uid="{C83D68B5-5B5A-4602-9406-0E0F8109DEBF}"/>
    <cellStyle name="Note 2 3 11" xfId="9138" xr:uid="{4334E686-7EF2-49B3-8C53-21B962BA146B}"/>
    <cellStyle name="Note 2 3 12" xfId="17586" xr:uid="{9F71EDE5-DC46-4D18-AA33-1B8339F1CB77}"/>
    <cellStyle name="Note 2 3 2" xfId="550" xr:uid="{00000000-0005-0000-0000-0000EF200000}"/>
    <cellStyle name="Note 2 3 2 10" xfId="9139" xr:uid="{17AEC17A-D4B3-4421-9ECE-A51E0B90F593}"/>
    <cellStyle name="Note 2 3 2 11" xfId="17587" xr:uid="{172D75E4-2694-4401-8C37-EB21E3537CCC}"/>
    <cellStyle name="Note 2 3 2 2" xfId="1011" xr:uid="{00000000-0005-0000-0000-0000F0200000}"/>
    <cellStyle name="Note 2 3 2 2 2" xfId="3243" xr:uid="{00000000-0005-0000-0000-0000F1200000}"/>
    <cellStyle name="Note 2 3 2 2 2 2" xfId="7465" xr:uid="{00000000-0005-0000-0000-0000F2200000}"/>
    <cellStyle name="Note 2 3 2 2 2 2 2" xfId="15915" xr:uid="{B50AC12A-5E58-49D0-9FB2-59EB87827C3C}"/>
    <cellStyle name="Note 2 3 2 2 2 2 3" xfId="24362" xr:uid="{4001FB4D-D341-463B-BDA4-41F6C28C87F9}"/>
    <cellStyle name="Note 2 3 2 2 2 3" xfId="11697" xr:uid="{07110A1B-6255-4831-A5D6-17B74B8821B0}"/>
    <cellStyle name="Note 2 3 2 2 2 4" xfId="20145" xr:uid="{99952D6F-ECD6-42F1-9C08-36B6B37F7D74}"/>
    <cellStyle name="Note 2 3 2 2 3" xfId="5320" xr:uid="{00000000-0005-0000-0000-0000F3200000}"/>
    <cellStyle name="Note 2 3 2 2 3 2" xfId="13770" xr:uid="{F49506A0-6AAF-44EC-B2B7-58D17FEECCC5}"/>
    <cellStyle name="Note 2 3 2 2 3 3" xfId="22217" xr:uid="{8CA02F2C-6863-43BC-A694-FBDA9E5D4BD9}"/>
    <cellStyle name="Note 2 3 2 2 4" xfId="9552" xr:uid="{426D7B43-C369-4D95-B139-853323426994}"/>
    <cellStyle name="Note 2 3 2 2 5" xfId="18000" xr:uid="{2FF0E90E-52A8-4DCE-A309-FC4F7D40AFEF}"/>
    <cellStyle name="Note 2 3 2 3" xfId="1426" xr:uid="{00000000-0005-0000-0000-0000F4200000}"/>
    <cellStyle name="Note 2 3 2 3 2" xfId="3656" xr:uid="{00000000-0005-0000-0000-0000F5200000}"/>
    <cellStyle name="Note 2 3 2 3 2 2" xfId="7878" xr:uid="{00000000-0005-0000-0000-0000F6200000}"/>
    <cellStyle name="Note 2 3 2 3 2 2 2" xfId="16328" xr:uid="{DF3118CB-A21F-45FB-96BF-4A6894C13304}"/>
    <cellStyle name="Note 2 3 2 3 2 2 3" xfId="24775" xr:uid="{FCD16CCC-3019-4FC8-9E00-48B47A80E392}"/>
    <cellStyle name="Note 2 3 2 3 2 3" xfId="12110" xr:uid="{75AD7273-2301-4DBD-A193-75A6811D7EC2}"/>
    <cellStyle name="Note 2 3 2 3 2 4" xfId="20558" xr:uid="{C4504F72-0274-4616-8F1D-117275466723}"/>
    <cellStyle name="Note 2 3 2 3 3" xfId="5733" xr:uid="{00000000-0005-0000-0000-0000F7200000}"/>
    <cellStyle name="Note 2 3 2 3 3 2" xfId="14183" xr:uid="{4653B122-34B0-4577-A465-255B1D0534AD}"/>
    <cellStyle name="Note 2 3 2 3 3 3" xfId="22630" xr:uid="{E1030021-84E4-4C66-A113-8862290805CF}"/>
    <cellStyle name="Note 2 3 2 3 4" xfId="9965" xr:uid="{C792AA53-57EF-4A06-80A6-BED7DBD2BC62}"/>
    <cellStyle name="Note 2 3 2 3 5" xfId="18413" xr:uid="{BDB078EB-F72E-4C74-8896-CF5942C878C5}"/>
    <cellStyle name="Note 2 3 2 4" xfId="1840" xr:uid="{00000000-0005-0000-0000-0000F8200000}"/>
    <cellStyle name="Note 2 3 2 4 2" xfId="4069" xr:uid="{00000000-0005-0000-0000-0000F9200000}"/>
    <cellStyle name="Note 2 3 2 4 2 2" xfId="8291" xr:uid="{00000000-0005-0000-0000-0000FA200000}"/>
    <cellStyle name="Note 2 3 2 4 2 2 2" xfId="16741" xr:uid="{471E04EF-7D5B-4487-A046-157157EDE631}"/>
    <cellStyle name="Note 2 3 2 4 2 2 3" xfId="25188" xr:uid="{074E961F-FE68-4A44-BD62-30206D0701EB}"/>
    <cellStyle name="Note 2 3 2 4 2 3" xfId="12523" xr:uid="{746BC88C-EAA8-4B2F-A159-EDB5F891E34A}"/>
    <cellStyle name="Note 2 3 2 4 2 4" xfId="20971" xr:uid="{5C70F876-6BA7-4520-99F6-B71617144CF2}"/>
    <cellStyle name="Note 2 3 2 4 3" xfId="6146" xr:uid="{00000000-0005-0000-0000-0000FB200000}"/>
    <cellStyle name="Note 2 3 2 4 3 2" xfId="14596" xr:uid="{CF3D7A54-2B37-4738-AE52-BFF1622ADCA4}"/>
    <cellStyle name="Note 2 3 2 4 3 3" xfId="23043" xr:uid="{4E67E4B7-2867-480C-B1BC-77852B907D69}"/>
    <cellStyle name="Note 2 3 2 4 4" xfId="10378" xr:uid="{B5091A15-F9EB-4E96-A36B-C15429F8A928}"/>
    <cellStyle name="Note 2 3 2 4 5" xfId="18826" xr:uid="{0E93C9B7-1890-47AF-B99B-B81BB5E88ECB}"/>
    <cellStyle name="Note 2 3 2 5" xfId="2253" xr:uid="{00000000-0005-0000-0000-0000FC200000}"/>
    <cellStyle name="Note 2 3 2 5 2" xfId="4482" xr:uid="{00000000-0005-0000-0000-0000FD200000}"/>
    <cellStyle name="Note 2 3 2 5 2 2" xfId="8704" xr:uid="{00000000-0005-0000-0000-0000FE200000}"/>
    <cellStyle name="Note 2 3 2 5 2 2 2" xfId="17154" xr:uid="{1855B90E-45D9-4DC0-90F5-FAF3F07487D2}"/>
    <cellStyle name="Note 2 3 2 5 2 2 3" xfId="25601" xr:uid="{0BE5674E-7B0A-4A7C-8B57-E5392589238B}"/>
    <cellStyle name="Note 2 3 2 5 2 3" xfId="12936" xr:uid="{8BF1E176-3D67-494F-B761-227E86128522}"/>
    <cellStyle name="Note 2 3 2 5 2 4" xfId="21384" xr:uid="{256D7AE7-5609-4E99-87B6-25A0D24684C5}"/>
    <cellStyle name="Note 2 3 2 5 3" xfId="6559" xr:uid="{00000000-0005-0000-0000-0000FF200000}"/>
    <cellStyle name="Note 2 3 2 5 3 2" xfId="15009" xr:uid="{DBA13EA3-DDDC-4002-94D2-B6FD7361CDAD}"/>
    <cellStyle name="Note 2 3 2 5 3 3" xfId="23456" xr:uid="{A22379A4-E82B-46F0-8E06-CC0DB57B8E8E}"/>
    <cellStyle name="Note 2 3 2 5 4" xfId="10791" xr:uid="{F421A9EA-17B2-44AA-9BA5-BE5595DD66DA}"/>
    <cellStyle name="Note 2 3 2 5 5" xfId="19239" xr:uid="{BDB15964-03FA-4836-BF10-24E63869D902}"/>
    <cellStyle name="Note 2 3 2 6" xfId="2689" xr:uid="{00000000-0005-0000-0000-000000210000}"/>
    <cellStyle name="Note 2 3 2 6 2" xfId="6972" xr:uid="{00000000-0005-0000-0000-000001210000}"/>
    <cellStyle name="Note 2 3 2 6 2 2" xfId="15422" xr:uid="{65848109-86ED-4E28-A56E-C02BE5645969}"/>
    <cellStyle name="Note 2 3 2 6 2 3" xfId="23869" xr:uid="{F0CC14F9-397D-4F7D-BC2E-4C364AD52946}"/>
    <cellStyle name="Note 2 3 2 6 3" xfId="11204" xr:uid="{DF173640-9264-40D7-A46A-A41729FFDA84}"/>
    <cellStyle name="Note 2 3 2 6 4" xfId="19652" xr:uid="{3AB2D24D-77BF-4942-B651-81491AB5AC5B}"/>
    <cellStyle name="Note 2 3 2 7" xfId="2748" xr:uid="{00000000-0005-0000-0000-000002210000}"/>
    <cellStyle name="Note 2 3 2 8" xfId="2829" xr:uid="{00000000-0005-0000-0000-000003210000}"/>
    <cellStyle name="Note 2 3 2 8 2" xfId="7052" xr:uid="{00000000-0005-0000-0000-000004210000}"/>
    <cellStyle name="Note 2 3 2 8 2 2" xfId="15502" xr:uid="{40246DAB-66C3-45E8-AC77-49ABDD32A94D}"/>
    <cellStyle name="Note 2 3 2 8 2 3" xfId="23949" xr:uid="{FE8DA9F2-DD3C-4FDE-A205-A63F3CCF5AA6}"/>
    <cellStyle name="Note 2 3 2 8 3" xfId="11284" xr:uid="{851C2370-DCC4-4FD7-A6B5-80EE24B57B6C}"/>
    <cellStyle name="Note 2 3 2 8 4" xfId="19732" xr:uid="{36929B26-86B3-45A2-95B7-509C3A8F1A73}"/>
    <cellStyle name="Note 2 3 2 9" xfId="4907" xr:uid="{00000000-0005-0000-0000-000005210000}"/>
    <cellStyle name="Note 2 3 2 9 2" xfId="13357" xr:uid="{F95530C1-2E54-4369-A6CD-DE817D50B392}"/>
    <cellStyle name="Note 2 3 2 9 3" xfId="21804" xr:uid="{EB5101FC-33F5-47DE-A67A-4F288582640C}"/>
    <cellStyle name="Note 2 3 3" xfId="1010" xr:uid="{00000000-0005-0000-0000-000006210000}"/>
    <cellStyle name="Note 2 3 3 2" xfId="3242" xr:uid="{00000000-0005-0000-0000-000007210000}"/>
    <cellStyle name="Note 2 3 3 2 2" xfId="7464" xr:uid="{00000000-0005-0000-0000-000008210000}"/>
    <cellStyle name="Note 2 3 3 2 2 2" xfId="15914" xr:uid="{A33C1EF9-1A6D-42FE-8BFE-E4E3C6350C4D}"/>
    <cellStyle name="Note 2 3 3 2 2 3" xfId="24361" xr:uid="{72D30268-E8BB-48F6-A578-7E818B580AF8}"/>
    <cellStyle name="Note 2 3 3 2 3" xfId="11696" xr:uid="{83B886EB-A5BB-4D71-99BD-CB172A1FA7C1}"/>
    <cellStyle name="Note 2 3 3 2 4" xfId="20144" xr:uid="{4A0D00A4-A79C-4992-8330-A5FEF7EC88E7}"/>
    <cellStyle name="Note 2 3 3 3" xfId="5319" xr:uid="{00000000-0005-0000-0000-000009210000}"/>
    <cellStyle name="Note 2 3 3 3 2" xfId="13769" xr:uid="{F15DB0E2-B221-4EA1-9705-D6C58C3A0B32}"/>
    <cellStyle name="Note 2 3 3 3 3" xfId="22216" xr:uid="{1EEE9E59-7D78-46EB-BC39-E97E8F935DEF}"/>
    <cellStyle name="Note 2 3 3 4" xfId="9551" xr:uid="{F3B343B6-F9F5-4AD8-A546-17EFF1B89409}"/>
    <cellStyle name="Note 2 3 3 5" xfId="17999" xr:uid="{BC8D3F8E-18F4-4F45-AD26-715D25FD24C8}"/>
    <cellStyle name="Note 2 3 4" xfId="1425" xr:uid="{00000000-0005-0000-0000-00000A210000}"/>
    <cellStyle name="Note 2 3 4 2" xfId="3655" xr:uid="{00000000-0005-0000-0000-00000B210000}"/>
    <cellStyle name="Note 2 3 4 2 2" xfId="7877" xr:uid="{00000000-0005-0000-0000-00000C210000}"/>
    <cellStyle name="Note 2 3 4 2 2 2" xfId="16327" xr:uid="{F562C287-7889-4359-8482-C70014FE9033}"/>
    <cellStyle name="Note 2 3 4 2 2 3" xfId="24774" xr:uid="{DDF4DF06-F79E-4526-A38C-42DE14C5CB00}"/>
    <cellStyle name="Note 2 3 4 2 3" xfId="12109" xr:uid="{7399DA1A-AF90-4A67-979E-DEA63F232324}"/>
    <cellStyle name="Note 2 3 4 2 4" xfId="20557" xr:uid="{EE977095-8E2D-4393-B6B6-9A8B86CD95E9}"/>
    <cellStyle name="Note 2 3 4 3" xfId="5732" xr:uid="{00000000-0005-0000-0000-00000D210000}"/>
    <cellStyle name="Note 2 3 4 3 2" xfId="14182" xr:uid="{36765677-40BF-4547-905B-25B25670D59E}"/>
    <cellStyle name="Note 2 3 4 3 3" xfId="22629" xr:uid="{1E4040C9-895A-4181-AD45-0244A07A586B}"/>
    <cellStyle name="Note 2 3 4 4" xfId="9964" xr:uid="{37C04EEF-0272-4B0E-95EC-0B414ACD8D80}"/>
    <cellStyle name="Note 2 3 4 5" xfId="18412" xr:uid="{B22ABA07-3353-48C9-8BA0-F89692231121}"/>
    <cellStyle name="Note 2 3 5" xfId="1839" xr:uid="{00000000-0005-0000-0000-00000E210000}"/>
    <cellStyle name="Note 2 3 5 2" xfId="4068" xr:uid="{00000000-0005-0000-0000-00000F210000}"/>
    <cellStyle name="Note 2 3 5 2 2" xfId="8290" xr:uid="{00000000-0005-0000-0000-000010210000}"/>
    <cellStyle name="Note 2 3 5 2 2 2" xfId="16740" xr:uid="{77C39B3F-7B17-4DDE-95D7-15D6B34B7093}"/>
    <cellStyle name="Note 2 3 5 2 2 3" xfId="25187" xr:uid="{3771E39C-B05F-42FD-8EE0-A63490C85034}"/>
    <cellStyle name="Note 2 3 5 2 3" xfId="12522" xr:uid="{B1EC2970-46AE-44B9-8E93-5D0232DBA8C4}"/>
    <cellStyle name="Note 2 3 5 2 4" xfId="20970" xr:uid="{772F5B93-3156-4E99-B391-3D670E93F868}"/>
    <cellStyle name="Note 2 3 5 3" xfId="6145" xr:uid="{00000000-0005-0000-0000-000011210000}"/>
    <cellStyle name="Note 2 3 5 3 2" xfId="14595" xr:uid="{160854D2-4DE0-455B-BD74-909F560C1097}"/>
    <cellStyle name="Note 2 3 5 3 3" xfId="23042" xr:uid="{BF8C7282-09DD-4A3B-ACAC-9516E152E97B}"/>
    <cellStyle name="Note 2 3 5 4" xfId="10377" xr:uid="{4B61EC85-42C3-4A2C-BE7C-7B5E28AAB600}"/>
    <cellStyle name="Note 2 3 5 5" xfId="18825" xr:uid="{BDE1E083-EF09-4D56-93C7-1DF1C8F9EFA9}"/>
    <cellStyle name="Note 2 3 6" xfId="2252" xr:uid="{00000000-0005-0000-0000-000012210000}"/>
    <cellStyle name="Note 2 3 6 2" xfId="4481" xr:uid="{00000000-0005-0000-0000-000013210000}"/>
    <cellStyle name="Note 2 3 6 2 2" xfId="8703" xr:uid="{00000000-0005-0000-0000-000014210000}"/>
    <cellStyle name="Note 2 3 6 2 2 2" xfId="17153" xr:uid="{4FFFEE9D-2F18-4444-9361-01466AD20490}"/>
    <cellStyle name="Note 2 3 6 2 2 3" xfId="25600" xr:uid="{63AA3B6D-91BE-437D-8CFB-02BC1C697139}"/>
    <cellStyle name="Note 2 3 6 2 3" xfId="12935" xr:uid="{ED72EAB0-B095-4B88-B6FB-AAE2EE77D594}"/>
    <cellStyle name="Note 2 3 6 2 4" xfId="21383" xr:uid="{EBBAD88D-95A8-4E29-8A2B-A0F81F8F56E5}"/>
    <cellStyle name="Note 2 3 6 3" xfId="6558" xr:uid="{00000000-0005-0000-0000-000015210000}"/>
    <cellStyle name="Note 2 3 6 3 2" xfId="15008" xr:uid="{3DE28618-3575-45C7-8D44-6109848BD623}"/>
    <cellStyle name="Note 2 3 6 3 3" xfId="23455" xr:uid="{AAA14E14-E96A-4B76-BC31-C455027811B6}"/>
    <cellStyle name="Note 2 3 6 4" xfId="10790" xr:uid="{FDF86B31-CB35-452F-9F62-0CBA8786737F}"/>
    <cellStyle name="Note 2 3 6 5" xfId="19238" xr:uid="{AB1D3844-6205-48F0-8E90-07A44B9E4222}"/>
    <cellStyle name="Note 2 3 7" xfId="2688" xr:uid="{00000000-0005-0000-0000-000016210000}"/>
    <cellStyle name="Note 2 3 7 2" xfId="6971" xr:uid="{00000000-0005-0000-0000-000017210000}"/>
    <cellStyle name="Note 2 3 7 2 2" xfId="15421" xr:uid="{7E441BE6-B1FB-4D36-9313-62B6AEBF74DB}"/>
    <cellStyle name="Note 2 3 7 2 3" xfId="23868" xr:uid="{9F13585B-E832-41F5-9DA6-6E91BD4D9D22}"/>
    <cellStyle name="Note 2 3 7 3" xfId="11203" xr:uid="{1D9771A5-876D-4D16-AB78-EE02F6DCDB70}"/>
    <cellStyle name="Note 2 3 7 4" xfId="19651" xr:uid="{71EA8869-A391-4173-9C0F-C86BFFA29520}"/>
    <cellStyle name="Note 2 3 8" xfId="2747" xr:uid="{00000000-0005-0000-0000-000018210000}"/>
    <cellStyle name="Note 2 3 9" xfId="2828" xr:uid="{00000000-0005-0000-0000-000019210000}"/>
    <cellStyle name="Note 2 3 9 2" xfId="7051" xr:uid="{00000000-0005-0000-0000-00001A210000}"/>
    <cellStyle name="Note 2 3 9 2 2" xfId="15501" xr:uid="{00510A4F-C455-4763-82CE-9DF09E9398CB}"/>
    <cellStyle name="Note 2 3 9 2 3" xfId="23948" xr:uid="{58ADF09F-DBD6-40A4-90C9-2F4FA9F61467}"/>
    <cellStyle name="Note 2 3 9 3" xfId="11283" xr:uid="{1404E0E7-B7F9-4115-B79C-7850052F27DE}"/>
    <cellStyle name="Note 2 3 9 4" xfId="19731" xr:uid="{2DEFDE68-55D5-408D-932B-F3855056AAB9}"/>
    <cellStyle name="Note 2 4" xfId="551" xr:uid="{00000000-0005-0000-0000-00001B210000}"/>
    <cellStyle name="Note 2 4 10" xfId="9140" xr:uid="{0A0BC95B-9DBE-4AC0-9DF8-68573F5FC4FA}"/>
    <cellStyle name="Note 2 4 11" xfId="17588" xr:uid="{50934E91-796F-49DE-BE0B-8BA4C313FB8D}"/>
    <cellStyle name="Note 2 4 2" xfId="1012" xr:uid="{00000000-0005-0000-0000-00001C210000}"/>
    <cellStyle name="Note 2 4 2 2" xfId="3244" xr:uid="{00000000-0005-0000-0000-00001D210000}"/>
    <cellStyle name="Note 2 4 2 2 2" xfId="7466" xr:uid="{00000000-0005-0000-0000-00001E210000}"/>
    <cellStyle name="Note 2 4 2 2 2 2" xfId="15916" xr:uid="{367AFCA2-92F8-4342-AD69-4B31A5ACD651}"/>
    <cellStyle name="Note 2 4 2 2 2 3" xfId="24363" xr:uid="{847EB5B1-F46D-42B5-B009-74B937DB9CF1}"/>
    <cellStyle name="Note 2 4 2 2 3" xfId="11698" xr:uid="{2DD69CB7-7CE2-4730-AFC0-D975D6B29D2A}"/>
    <cellStyle name="Note 2 4 2 2 4" xfId="20146" xr:uid="{E1D321CD-41EE-49F9-8363-C4CB952D447D}"/>
    <cellStyle name="Note 2 4 2 3" xfId="5321" xr:uid="{00000000-0005-0000-0000-00001F210000}"/>
    <cellStyle name="Note 2 4 2 3 2" xfId="13771" xr:uid="{AF9FDA51-4841-4737-B002-B4EF329F71D6}"/>
    <cellStyle name="Note 2 4 2 3 3" xfId="22218" xr:uid="{62698BCF-202A-4B7E-885D-849E6D4556BE}"/>
    <cellStyle name="Note 2 4 2 4" xfId="9553" xr:uid="{77221895-19FC-4CBA-937D-73B8870E838B}"/>
    <cellStyle name="Note 2 4 2 5" xfId="18001" xr:uid="{8D3957D2-0F1D-409B-A3C6-EE5073811089}"/>
    <cellStyle name="Note 2 4 3" xfId="1427" xr:uid="{00000000-0005-0000-0000-000020210000}"/>
    <cellStyle name="Note 2 4 3 2" xfId="3657" xr:uid="{00000000-0005-0000-0000-000021210000}"/>
    <cellStyle name="Note 2 4 3 2 2" xfId="7879" xr:uid="{00000000-0005-0000-0000-000022210000}"/>
    <cellStyle name="Note 2 4 3 2 2 2" xfId="16329" xr:uid="{F64ADA4A-BAB4-4D60-80E5-454C30414C4D}"/>
    <cellStyle name="Note 2 4 3 2 2 3" xfId="24776" xr:uid="{C4767443-558F-429E-8CC3-00F36B94F023}"/>
    <cellStyle name="Note 2 4 3 2 3" xfId="12111" xr:uid="{0F68C368-F667-4E45-A476-CA0231E50271}"/>
    <cellStyle name="Note 2 4 3 2 4" xfId="20559" xr:uid="{09EF578D-869E-4940-AA55-B9FECAA008A5}"/>
    <cellStyle name="Note 2 4 3 3" xfId="5734" xr:uid="{00000000-0005-0000-0000-000023210000}"/>
    <cellStyle name="Note 2 4 3 3 2" xfId="14184" xr:uid="{6A3B11EB-E89F-4018-86BB-DCF3741EFB72}"/>
    <cellStyle name="Note 2 4 3 3 3" xfId="22631" xr:uid="{514A2FE6-68A6-4544-A9B4-298DD23E5AC8}"/>
    <cellStyle name="Note 2 4 3 4" xfId="9966" xr:uid="{DADF1069-7B5B-40CE-9AF1-BB3EFA8978B4}"/>
    <cellStyle name="Note 2 4 3 5" xfId="18414" xr:uid="{BFEDBF0E-03EF-4771-9A28-20C7D1B018B8}"/>
    <cellStyle name="Note 2 4 4" xfId="1841" xr:uid="{00000000-0005-0000-0000-000024210000}"/>
    <cellStyle name="Note 2 4 4 2" xfId="4070" xr:uid="{00000000-0005-0000-0000-000025210000}"/>
    <cellStyle name="Note 2 4 4 2 2" xfId="8292" xr:uid="{00000000-0005-0000-0000-000026210000}"/>
    <cellStyle name="Note 2 4 4 2 2 2" xfId="16742" xr:uid="{35570A22-583F-4EA8-81B0-E49441AAEC63}"/>
    <cellStyle name="Note 2 4 4 2 2 3" xfId="25189" xr:uid="{D6637621-0B22-4857-B7BB-B557A4EAF477}"/>
    <cellStyle name="Note 2 4 4 2 3" xfId="12524" xr:uid="{E7AAB019-CC96-4E6C-8DC0-A7226689916B}"/>
    <cellStyle name="Note 2 4 4 2 4" xfId="20972" xr:uid="{613530EB-AF70-436E-98F6-0D799B3ADFF9}"/>
    <cellStyle name="Note 2 4 4 3" xfId="6147" xr:uid="{00000000-0005-0000-0000-000027210000}"/>
    <cellStyle name="Note 2 4 4 3 2" xfId="14597" xr:uid="{9D608ED2-BCBD-430A-A509-26E24D20660D}"/>
    <cellStyle name="Note 2 4 4 3 3" xfId="23044" xr:uid="{D324D781-0982-4E7C-AD44-03B4848CDC82}"/>
    <cellStyle name="Note 2 4 4 4" xfId="10379" xr:uid="{E1D6D00F-F43E-419E-9B35-510372DD25B4}"/>
    <cellStyle name="Note 2 4 4 5" xfId="18827" xr:uid="{32C9E108-4A02-4163-AEBC-35503E17F9A9}"/>
    <cellStyle name="Note 2 4 5" xfId="2254" xr:uid="{00000000-0005-0000-0000-000028210000}"/>
    <cellStyle name="Note 2 4 5 2" xfId="4483" xr:uid="{00000000-0005-0000-0000-000029210000}"/>
    <cellStyle name="Note 2 4 5 2 2" xfId="8705" xr:uid="{00000000-0005-0000-0000-00002A210000}"/>
    <cellStyle name="Note 2 4 5 2 2 2" xfId="17155" xr:uid="{0DEDDBE4-3654-4BF1-B487-02CA6FE8ED2A}"/>
    <cellStyle name="Note 2 4 5 2 2 3" xfId="25602" xr:uid="{DF2A9EF0-6BE5-498E-9A4D-C1DB1813C176}"/>
    <cellStyle name="Note 2 4 5 2 3" xfId="12937" xr:uid="{5644AC2A-826B-49AB-AFF2-10A7C6F8F0A3}"/>
    <cellStyle name="Note 2 4 5 2 4" xfId="21385" xr:uid="{35D59358-D31D-468E-BCDB-EAE6BB44F3A8}"/>
    <cellStyle name="Note 2 4 5 3" xfId="6560" xr:uid="{00000000-0005-0000-0000-00002B210000}"/>
    <cellStyle name="Note 2 4 5 3 2" xfId="15010" xr:uid="{169FFEC2-29EB-46A4-9C01-2FF5916A30E1}"/>
    <cellStyle name="Note 2 4 5 3 3" xfId="23457" xr:uid="{FB6A39DC-F8E2-4C5B-9E3F-E889FE630833}"/>
    <cellStyle name="Note 2 4 5 4" xfId="10792" xr:uid="{FDE3B9FE-7E5A-47C4-BAC7-190319DDFF0C}"/>
    <cellStyle name="Note 2 4 5 5" xfId="19240" xr:uid="{CC23BB3B-C0E5-4A98-8BA0-F60D2FE93DE4}"/>
    <cellStyle name="Note 2 4 6" xfId="2690" xr:uid="{00000000-0005-0000-0000-00002C210000}"/>
    <cellStyle name="Note 2 4 6 2" xfId="6973" xr:uid="{00000000-0005-0000-0000-00002D210000}"/>
    <cellStyle name="Note 2 4 6 2 2" xfId="15423" xr:uid="{57D5581E-CCBD-490D-B27E-5CE285B524A3}"/>
    <cellStyle name="Note 2 4 6 2 3" xfId="23870" xr:uid="{D18041A8-CB02-4BC3-B094-A00FD49B626A}"/>
    <cellStyle name="Note 2 4 6 3" xfId="11205" xr:uid="{8735E9FB-1A95-4A32-8D9D-76C5DDFE28E8}"/>
    <cellStyle name="Note 2 4 6 4" xfId="19653" xr:uid="{0E2B274C-5194-4070-A31F-3B0C6C66E2AE}"/>
    <cellStyle name="Note 2 4 7" xfId="2749" xr:uid="{00000000-0005-0000-0000-00002E210000}"/>
    <cellStyle name="Note 2 4 8" xfId="2830" xr:uid="{00000000-0005-0000-0000-00002F210000}"/>
    <cellStyle name="Note 2 4 8 2" xfId="7053" xr:uid="{00000000-0005-0000-0000-000030210000}"/>
    <cellStyle name="Note 2 4 8 2 2" xfId="15503" xr:uid="{D2309229-23D3-42DC-9E91-7A74AF35BD6D}"/>
    <cellStyle name="Note 2 4 8 2 3" xfId="23950" xr:uid="{25AE1F93-4D5E-4BDA-81C1-1ACE83343BDB}"/>
    <cellStyle name="Note 2 4 8 3" xfId="11285" xr:uid="{D83612BF-DFA6-4A41-8ED2-446B7E69220A}"/>
    <cellStyle name="Note 2 4 8 4" xfId="19733" xr:uid="{EE687687-0478-4FF6-8FF9-02623553004E}"/>
    <cellStyle name="Note 2 4 9" xfId="4908" xr:uid="{00000000-0005-0000-0000-000031210000}"/>
    <cellStyle name="Note 2 4 9 2" xfId="13358" xr:uid="{45B28CC1-03F4-49B5-A113-35E35F00F2AC}"/>
    <cellStyle name="Note 2 4 9 3" xfId="21805" xr:uid="{DD51DE47-5E20-4DFD-8C6D-4278E172D04A}"/>
    <cellStyle name="Note 2 5" xfId="552" xr:uid="{00000000-0005-0000-0000-000032210000}"/>
    <cellStyle name="Note 2 5 10" xfId="9141" xr:uid="{F3A27381-FE78-4168-8561-DB51D20D1DD2}"/>
    <cellStyle name="Note 2 5 11" xfId="17589" xr:uid="{B2A4CF29-9F13-4100-B4E8-3FFA52E51726}"/>
    <cellStyle name="Note 2 5 2" xfId="1013" xr:uid="{00000000-0005-0000-0000-000033210000}"/>
    <cellStyle name="Note 2 5 2 2" xfId="3245" xr:uid="{00000000-0005-0000-0000-000034210000}"/>
    <cellStyle name="Note 2 5 2 2 2" xfId="7467" xr:uid="{00000000-0005-0000-0000-000035210000}"/>
    <cellStyle name="Note 2 5 2 2 2 2" xfId="15917" xr:uid="{5F079E38-9EA3-4FD7-97A9-ACC3AE1B8CE6}"/>
    <cellStyle name="Note 2 5 2 2 2 3" xfId="24364" xr:uid="{EBC073D8-B0D4-4795-B6D9-A9ED0CB16323}"/>
    <cellStyle name="Note 2 5 2 2 3" xfId="11699" xr:uid="{5B1FE427-C3D9-4D83-B040-4A039CD762E3}"/>
    <cellStyle name="Note 2 5 2 2 4" xfId="20147" xr:uid="{21B33AFA-822D-483F-A647-01DD8A4DB991}"/>
    <cellStyle name="Note 2 5 2 3" xfId="5322" xr:uid="{00000000-0005-0000-0000-000036210000}"/>
    <cellStyle name="Note 2 5 2 3 2" xfId="13772" xr:uid="{6452F12F-364F-4D74-9433-CBB4E279ADCA}"/>
    <cellStyle name="Note 2 5 2 3 3" xfId="22219" xr:uid="{D19BBBEA-E161-4AD2-9249-FC7EE6529A45}"/>
    <cellStyle name="Note 2 5 2 4" xfId="9554" xr:uid="{D8333143-797E-4AF6-9810-5700A5051E43}"/>
    <cellStyle name="Note 2 5 2 5" xfId="18002" xr:uid="{63B8A25B-63BB-4D2F-B313-7F6F78AC7E10}"/>
    <cellStyle name="Note 2 5 3" xfId="1428" xr:uid="{00000000-0005-0000-0000-000037210000}"/>
    <cellStyle name="Note 2 5 3 2" xfId="3658" xr:uid="{00000000-0005-0000-0000-000038210000}"/>
    <cellStyle name="Note 2 5 3 2 2" xfId="7880" xr:uid="{00000000-0005-0000-0000-000039210000}"/>
    <cellStyle name="Note 2 5 3 2 2 2" xfId="16330" xr:uid="{C11C6918-1D0F-41D8-97F8-DAC41E28C586}"/>
    <cellStyle name="Note 2 5 3 2 2 3" xfId="24777" xr:uid="{A46FB761-3D7C-4480-AE3D-F7EB9F220F9D}"/>
    <cellStyle name="Note 2 5 3 2 3" xfId="12112" xr:uid="{15DB374F-2155-42D4-B3FD-6B8B15B998AE}"/>
    <cellStyle name="Note 2 5 3 2 4" xfId="20560" xr:uid="{D69C60DF-9B60-4F48-B1CD-B55093634773}"/>
    <cellStyle name="Note 2 5 3 3" xfId="5735" xr:uid="{00000000-0005-0000-0000-00003A210000}"/>
    <cellStyle name="Note 2 5 3 3 2" xfId="14185" xr:uid="{8809DABD-3C61-486F-9E80-E48AD49C5146}"/>
    <cellStyle name="Note 2 5 3 3 3" xfId="22632" xr:uid="{AC2819F7-FDFD-496E-9BAE-A8C3C92700F5}"/>
    <cellStyle name="Note 2 5 3 4" xfId="9967" xr:uid="{878FAF61-5CE6-40D4-B745-376DD9922D35}"/>
    <cellStyle name="Note 2 5 3 5" xfId="18415" xr:uid="{1DF15FFE-4CB3-42EC-BB8C-9643A310E742}"/>
    <cellStyle name="Note 2 5 4" xfId="1842" xr:uid="{00000000-0005-0000-0000-00003B210000}"/>
    <cellStyle name="Note 2 5 4 2" xfId="4071" xr:uid="{00000000-0005-0000-0000-00003C210000}"/>
    <cellStyle name="Note 2 5 4 2 2" xfId="8293" xr:uid="{00000000-0005-0000-0000-00003D210000}"/>
    <cellStyle name="Note 2 5 4 2 2 2" xfId="16743" xr:uid="{A442168B-0869-4575-8E6E-D0680F06F0A5}"/>
    <cellStyle name="Note 2 5 4 2 2 3" xfId="25190" xr:uid="{2CD7FA01-E56B-4275-99BA-FF49B69F132A}"/>
    <cellStyle name="Note 2 5 4 2 3" xfId="12525" xr:uid="{49C7CFE3-4DD1-43C2-A31A-E0FA6FFAC174}"/>
    <cellStyle name="Note 2 5 4 2 4" xfId="20973" xr:uid="{5E219DEC-D156-4159-B0B3-C3FF796D973E}"/>
    <cellStyle name="Note 2 5 4 3" xfId="6148" xr:uid="{00000000-0005-0000-0000-00003E210000}"/>
    <cellStyle name="Note 2 5 4 3 2" xfId="14598" xr:uid="{83B61DB6-7CB0-4F20-BECE-A215082991C0}"/>
    <cellStyle name="Note 2 5 4 3 3" xfId="23045" xr:uid="{DE9C37AA-6AD4-4CF3-82BC-DDAA4F486BCA}"/>
    <cellStyle name="Note 2 5 4 4" xfId="10380" xr:uid="{DAAB7812-871F-46A3-B3FA-EA938D49E3C4}"/>
    <cellStyle name="Note 2 5 4 5" xfId="18828" xr:uid="{5972770E-2F6C-4DCD-B407-FB619BB80A52}"/>
    <cellStyle name="Note 2 5 5" xfId="2255" xr:uid="{00000000-0005-0000-0000-00003F210000}"/>
    <cellStyle name="Note 2 5 5 2" xfId="4484" xr:uid="{00000000-0005-0000-0000-000040210000}"/>
    <cellStyle name="Note 2 5 5 2 2" xfId="8706" xr:uid="{00000000-0005-0000-0000-000041210000}"/>
    <cellStyle name="Note 2 5 5 2 2 2" xfId="17156" xr:uid="{2204E5BF-F38A-4EA3-8E1D-119BAB0D6E72}"/>
    <cellStyle name="Note 2 5 5 2 2 3" xfId="25603" xr:uid="{204BF24D-5C3E-4F08-9DA2-168374C1F81E}"/>
    <cellStyle name="Note 2 5 5 2 3" xfId="12938" xr:uid="{D48B9A9D-11E0-4E1C-B751-1A2BE89ED9CA}"/>
    <cellStyle name="Note 2 5 5 2 4" xfId="21386" xr:uid="{2F9D06FB-AE8F-49FD-AA3D-C1DDE2724481}"/>
    <cellStyle name="Note 2 5 5 3" xfId="6561" xr:uid="{00000000-0005-0000-0000-000042210000}"/>
    <cellStyle name="Note 2 5 5 3 2" xfId="15011" xr:uid="{FBDAC7EE-B1AF-4BC8-B882-42956D5D208F}"/>
    <cellStyle name="Note 2 5 5 3 3" xfId="23458" xr:uid="{CBE67D67-DFE2-402E-8893-1D1212076EB4}"/>
    <cellStyle name="Note 2 5 5 4" xfId="10793" xr:uid="{89A0B1C0-0188-4048-A927-4C67B27BF097}"/>
    <cellStyle name="Note 2 5 5 5" xfId="19241" xr:uid="{EB15BCB6-ED06-4B3F-9C8A-66548C9D0473}"/>
    <cellStyle name="Note 2 5 6" xfId="2691" xr:uid="{00000000-0005-0000-0000-000043210000}"/>
    <cellStyle name="Note 2 5 6 2" xfId="6974" xr:uid="{00000000-0005-0000-0000-000044210000}"/>
    <cellStyle name="Note 2 5 6 2 2" xfId="15424" xr:uid="{BB2F5EC1-AB85-485D-8EC3-81D26BC52AEC}"/>
    <cellStyle name="Note 2 5 6 2 3" xfId="23871" xr:uid="{C3067F40-66C3-43AC-A4D5-809600187A5E}"/>
    <cellStyle name="Note 2 5 6 3" xfId="11206" xr:uid="{753732F3-6DD4-4E0E-9698-4E35B3EF2084}"/>
    <cellStyle name="Note 2 5 6 4" xfId="19654" xr:uid="{FBDE135C-6D0D-431A-96AE-5BC7E6FD12B4}"/>
    <cellStyle name="Note 2 5 7" xfId="2750" xr:uid="{00000000-0005-0000-0000-000045210000}"/>
    <cellStyle name="Note 2 5 8" xfId="2831" xr:uid="{00000000-0005-0000-0000-000046210000}"/>
    <cellStyle name="Note 2 5 8 2" xfId="7054" xr:uid="{00000000-0005-0000-0000-000047210000}"/>
    <cellStyle name="Note 2 5 8 2 2" xfId="15504" xr:uid="{F0D27A30-49B7-4C74-AA7A-671E5359D08F}"/>
    <cellStyle name="Note 2 5 8 2 3" xfId="23951" xr:uid="{77FABD90-200A-41E8-A1F2-15D6FE262570}"/>
    <cellStyle name="Note 2 5 8 3" xfId="11286" xr:uid="{D2999D65-1860-429C-A956-D9DDF045D1BC}"/>
    <cellStyle name="Note 2 5 8 4" xfId="19734" xr:uid="{DAB54ECB-6FAA-4CB7-9872-C6C28AF33330}"/>
    <cellStyle name="Note 2 5 9" xfId="4909" xr:uid="{00000000-0005-0000-0000-000048210000}"/>
    <cellStyle name="Note 2 5 9 2" xfId="13359" xr:uid="{9AFDEECF-5362-4046-804C-4A1204223ABD}"/>
    <cellStyle name="Note 2 5 9 3" xfId="21806" xr:uid="{50D4DF18-078D-4DD3-B733-13EF781333B8}"/>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0 2 2" xfId="15505" xr:uid="{80EDF644-70E3-41A1-96F6-00E9FE93DFEC}"/>
    <cellStyle name="Note 3 2 10 2 3" xfId="23952" xr:uid="{FB47EDDB-A2F1-4769-9CDB-74352998B885}"/>
    <cellStyle name="Note 3 2 10 3" xfId="11287" xr:uid="{2C94B7F6-70A4-4EE6-AB60-4AF53A94D60F}"/>
    <cellStyle name="Note 3 2 10 4" xfId="19735" xr:uid="{E587E0C8-F37D-4202-91A0-469CD1FC1ABE}"/>
    <cellStyle name="Note 3 2 11" xfId="4910" xr:uid="{00000000-0005-0000-0000-00004D210000}"/>
    <cellStyle name="Note 3 2 11 2" xfId="13360" xr:uid="{84484F1D-6B44-4442-85F0-69F47B15B8A5}"/>
    <cellStyle name="Note 3 2 11 3" xfId="21807" xr:uid="{BCA350C4-D193-47F0-89F7-11EBEFF2E333}"/>
    <cellStyle name="Note 3 2 12" xfId="9142" xr:uid="{165ED6A3-6D5A-4D72-A76F-FA5284E801B4}"/>
    <cellStyle name="Note 3 2 13" xfId="17590" xr:uid="{B939694B-5CD4-487B-98E4-A8001FDA4BC7}"/>
    <cellStyle name="Note 3 2 2" xfId="555" xr:uid="{00000000-0005-0000-0000-00004E210000}"/>
    <cellStyle name="Note 3 2 2 10" xfId="4911" xr:uid="{00000000-0005-0000-0000-00004F210000}"/>
    <cellStyle name="Note 3 2 2 10 2" xfId="13361" xr:uid="{EE3B5E90-C673-4070-9CC1-8E67E3222624}"/>
    <cellStyle name="Note 3 2 2 10 3" xfId="21808" xr:uid="{19DA9E80-5B0D-4390-8217-57D5EA5305A9}"/>
    <cellStyle name="Note 3 2 2 11" xfId="9143" xr:uid="{E8F0569C-D19B-4593-A6B2-C9227463D98F}"/>
    <cellStyle name="Note 3 2 2 12" xfId="17591" xr:uid="{F9B84C32-E96A-4AE0-80A5-6341057475E0}"/>
    <cellStyle name="Note 3 2 2 2" xfId="556" xr:uid="{00000000-0005-0000-0000-000050210000}"/>
    <cellStyle name="Note 3 2 2 2 10" xfId="9144" xr:uid="{DAFBDD0A-E1D4-430F-92D7-C2FD1EEDE82D}"/>
    <cellStyle name="Note 3 2 2 2 11" xfId="17592" xr:uid="{94229D1E-7941-44EA-BC2C-DA829E78AC5E}"/>
    <cellStyle name="Note 3 2 2 2 2" xfId="1016" xr:uid="{00000000-0005-0000-0000-000051210000}"/>
    <cellStyle name="Note 3 2 2 2 2 2" xfId="3248" xr:uid="{00000000-0005-0000-0000-000052210000}"/>
    <cellStyle name="Note 3 2 2 2 2 2 2" xfId="7470" xr:uid="{00000000-0005-0000-0000-000053210000}"/>
    <cellStyle name="Note 3 2 2 2 2 2 2 2" xfId="15920" xr:uid="{5E3D3D4B-656E-4289-9CA8-08F1F88A08F0}"/>
    <cellStyle name="Note 3 2 2 2 2 2 2 3" xfId="24367" xr:uid="{5778ED28-D475-4BB4-80A5-7CB577C5C326}"/>
    <cellStyle name="Note 3 2 2 2 2 2 3" xfId="11702" xr:uid="{44B5AFCB-2DD7-490D-973A-A63A2DC829D9}"/>
    <cellStyle name="Note 3 2 2 2 2 2 4" xfId="20150" xr:uid="{CD3A3E3B-474C-4D1F-AA71-EEAD19A570D1}"/>
    <cellStyle name="Note 3 2 2 2 2 3" xfId="5325" xr:uid="{00000000-0005-0000-0000-000054210000}"/>
    <cellStyle name="Note 3 2 2 2 2 3 2" xfId="13775" xr:uid="{AD94B664-C526-4B00-8173-3ECAFF675401}"/>
    <cellStyle name="Note 3 2 2 2 2 3 3" xfId="22222" xr:uid="{154D6E7A-0F9D-4CDD-975E-F9870C0ACC1C}"/>
    <cellStyle name="Note 3 2 2 2 2 4" xfId="9557" xr:uid="{137802DF-09D3-4FE7-A373-A2357406C269}"/>
    <cellStyle name="Note 3 2 2 2 2 5" xfId="18005" xr:uid="{A6DF7ABE-5EA8-417B-8338-78123925B718}"/>
    <cellStyle name="Note 3 2 2 2 3" xfId="1431" xr:uid="{00000000-0005-0000-0000-000055210000}"/>
    <cellStyle name="Note 3 2 2 2 3 2" xfId="3661" xr:uid="{00000000-0005-0000-0000-000056210000}"/>
    <cellStyle name="Note 3 2 2 2 3 2 2" xfId="7883" xr:uid="{00000000-0005-0000-0000-000057210000}"/>
    <cellStyle name="Note 3 2 2 2 3 2 2 2" xfId="16333" xr:uid="{2FDC7B67-AFC4-43EB-83BC-0E14B5CA89E5}"/>
    <cellStyle name="Note 3 2 2 2 3 2 2 3" xfId="24780" xr:uid="{664D467E-E22C-4833-81D6-5C72A6CD5949}"/>
    <cellStyle name="Note 3 2 2 2 3 2 3" xfId="12115" xr:uid="{184A52F9-2125-40CF-B20B-EA864761D3D8}"/>
    <cellStyle name="Note 3 2 2 2 3 2 4" xfId="20563" xr:uid="{98923A7B-8FB2-4F88-88B9-B168569FA3B9}"/>
    <cellStyle name="Note 3 2 2 2 3 3" xfId="5738" xr:uid="{00000000-0005-0000-0000-000058210000}"/>
    <cellStyle name="Note 3 2 2 2 3 3 2" xfId="14188" xr:uid="{AD97FFDF-BD7A-490A-9737-6F03577611AF}"/>
    <cellStyle name="Note 3 2 2 2 3 3 3" xfId="22635" xr:uid="{CE1C22DC-CA82-4F14-AE19-6D4FBDA1478C}"/>
    <cellStyle name="Note 3 2 2 2 3 4" xfId="9970" xr:uid="{E75C5AAB-6949-473E-9DA0-895BFB070447}"/>
    <cellStyle name="Note 3 2 2 2 3 5" xfId="18418" xr:uid="{ED93B8A5-6683-4480-99BF-213DDBAA17CB}"/>
    <cellStyle name="Note 3 2 2 2 4" xfId="1845" xr:uid="{00000000-0005-0000-0000-000059210000}"/>
    <cellStyle name="Note 3 2 2 2 4 2" xfId="4074" xr:uid="{00000000-0005-0000-0000-00005A210000}"/>
    <cellStyle name="Note 3 2 2 2 4 2 2" xfId="8296" xr:uid="{00000000-0005-0000-0000-00005B210000}"/>
    <cellStyle name="Note 3 2 2 2 4 2 2 2" xfId="16746" xr:uid="{211376CE-5608-4F78-88E5-67A847DA7BBB}"/>
    <cellStyle name="Note 3 2 2 2 4 2 2 3" xfId="25193" xr:uid="{8D9A95E4-217B-4CC6-B1FA-D4CBD7236438}"/>
    <cellStyle name="Note 3 2 2 2 4 2 3" xfId="12528" xr:uid="{BDE09AEA-1DEF-4E22-890D-10D96F5F0FA9}"/>
    <cellStyle name="Note 3 2 2 2 4 2 4" xfId="20976" xr:uid="{E5781474-B72E-4F75-A3C2-37C1BE596AF0}"/>
    <cellStyle name="Note 3 2 2 2 4 3" xfId="6151" xr:uid="{00000000-0005-0000-0000-00005C210000}"/>
    <cellStyle name="Note 3 2 2 2 4 3 2" xfId="14601" xr:uid="{8ED1FBAC-D7C7-4F11-8F82-1110828808E5}"/>
    <cellStyle name="Note 3 2 2 2 4 3 3" xfId="23048" xr:uid="{6958A7D6-A45C-4624-AFB8-65131BBC34A1}"/>
    <cellStyle name="Note 3 2 2 2 4 4" xfId="10383" xr:uid="{E0465F65-593A-4114-9D0C-9E2D7598F86F}"/>
    <cellStyle name="Note 3 2 2 2 4 5" xfId="18831" xr:uid="{3137E020-C231-4A77-92CE-20AA986AA95F}"/>
    <cellStyle name="Note 3 2 2 2 5" xfId="2258" xr:uid="{00000000-0005-0000-0000-00005D210000}"/>
    <cellStyle name="Note 3 2 2 2 5 2" xfId="4487" xr:uid="{00000000-0005-0000-0000-00005E210000}"/>
    <cellStyle name="Note 3 2 2 2 5 2 2" xfId="8709" xr:uid="{00000000-0005-0000-0000-00005F210000}"/>
    <cellStyle name="Note 3 2 2 2 5 2 2 2" xfId="17159" xr:uid="{10D5CCF6-240F-4C9B-B3A5-D7E1A0370EE2}"/>
    <cellStyle name="Note 3 2 2 2 5 2 2 3" xfId="25606" xr:uid="{B51979ED-BB60-4F33-8A0C-D73AC36A2052}"/>
    <cellStyle name="Note 3 2 2 2 5 2 3" xfId="12941" xr:uid="{DC22447C-9801-4E03-B7B1-42C2DB1805D9}"/>
    <cellStyle name="Note 3 2 2 2 5 2 4" xfId="21389" xr:uid="{F1F5C8C2-B99F-4860-84D4-620A9DE3F008}"/>
    <cellStyle name="Note 3 2 2 2 5 3" xfId="6564" xr:uid="{00000000-0005-0000-0000-000060210000}"/>
    <cellStyle name="Note 3 2 2 2 5 3 2" xfId="15014" xr:uid="{DE4210DB-3544-4C3A-89A5-FB26A507539D}"/>
    <cellStyle name="Note 3 2 2 2 5 3 3" xfId="23461" xr:uid="{F40AAD46-6915-407D-915D-C050C5AC5D12}"/>
    <cellStyle name="Note 3 2 2 2 5 4" xfId="10796" xr:uid="{C1826AEE-6477-4CEB-B9ED-1B14112949B5}"/>
    <cellStyle name="Note 3 2 2 2 5 5" xfId="19244" xr:uid="{DC0E75B6-D0A2-4D13-8973-AFDE5E3C4405}"/>
    <cellStyle name="Note 3 2 2 2 6" xfId="2694" xr:uid="{00000000-0005-0000-0000-000061210000}"/>
    <cellStyle name="Note 3 2 2 2 6 2" xfId="6977" xr:uid="{00000000-0005-0000-0000-000062210000}"/>
    <cellStyle name="Note 3 2 2 2 6 2 2" xfId="15427" xr:uid="{F7B7536C-CC70-4D17-A4B4-4697B6EBA40F}"/>
    <cellStyle name="Note 3 2 2 2 6 2 3" xfId="23874" xr:uid="{5C5097B2-A23B-4EDB-88D3-C4D6CF846A8F}"/>
    <cellStyle name="Note 3 2 2 2 6 3" xfId="11209" xr:uid="{4A363212-A71D-439D-9EFE-9C0D55475057}"/>
    <cellStyle name="Note 3 2 2 2 6 4" xfId="19657" xr:uid="{1D614B70-8ADE-43DB-B8BB-BBEA4B3D14B7}"/>
    <cellStyle name="Note 3 2 2 2 7" xfId="2753" xr:uid="{00000000-0005-0000-0000-000063210000}"/>
    <cellStyle name="Note 3 2 2 2 8" xfId="2834" xr:uid="{00000000-0005-0000-0000-000064210000}"/>
    <cellStyle name="Note 3 2 2 2 8 2" xfId="7057" xr:uid="{00000000-0005-0000-0000-000065210000}"/>
    <cellStyle name="Note 3 2 2 2 8 2 2" xfId="15507" xr:uid="{F32BC40B-49C0-42D6-AC8D-21721D53DF77}"/>
    <cellStyle name="Note 3 2 2 2 8 2 3" xfId="23954" xr:uid="{512AB540-65F6-4202-8804-70E2DEF36F91}"/>
    <cellStyle name="Note 3 2 2 2 8 3" xfId="11289" xr:uid="{6FF69A5A-5E15-4E93-A98E-D55949EEC2E5}"/>
    <cellStyle name="Note 3 2 2 2 8 4" xfId="19737" xr:uid="{DEB3D432-641A-4DDB-B9C1-C150049BB205}"/>
    <cellStyle name="Note 3 2 2 2 9" xfId="4912" xr:uid="{00000000-0005-0000-0000-000066210000}"/>
    <cellStyle name="Note 3 2 2 2 9 2" xfId="13362" xr:uid="{8FBF3DDA-3C18-4D7D-B62F-16EFBE751D62}"/>
    <cellStyle name="Note 3 2 2 2 9 3" xfId="21809" xr:uid="{A809B339-4E2C-459D-9B4D-FC6E695F0AF6}"/>
    <cellStyle name="Note 3 2 2 3" xfId="1015" xr:uid="{00000000-0005-0000-0000-000067210000}"/>
    <cellStyle name="Note 3 2 2 3 2" xfId="3247" xr:uid="{00000000-0005-0000-0000-000068210000}"/>
    <cellStyle name="Note 3 2 2 3 2 2" xfId="7469" xr:uid="{00000000-0005-0000-0000-000069210000}"/>
    <cellStyle name="Note 3 2 2 3 2 2 2" xfId="15919" xr:uid="{61CBFDB7-C774-4E30-8C2A-1B7BBC3F2762}"/>
    <cellStyle name="Note 3 2 2 3 2 2 3" xfId="24366" xr:uid="{6556C656-C9BD-4F8F-8974-E6210DD9C1FC}"/>
    <cellStyle name="Note 3 2 2 3 2 3" xfId="11701" xr:uid="{9E83B49A-8731-4193-850A-8182A47DCC3A}"/>
    <cellStyle name="Note 3 2 2 3 2 4" xfId="20149" xr:uid="{4DAAE854-FD4E-47ED-8622-8069D0A9B3CA}"/>
    <cellStyle name="Note 3 2 2 3 3" xfId="5324" xr:uid="{00000000-0005-0000-0000-00006A210000}"/>
    <cellStyle name="Note 3 2 2 3 3 2" xfId="13774" xr:uid="{2AE45E38-9CEB-4584-850B-9D5E5FBF3E8B}"/>
    <cellStyle name="Note 3 2 2 3 3 3" xfId="22221" xr:uid="{BEC09AD3-AA84-460A-8E45-301E146AB0DB}"/>
    <cellStyle name="Note 3 2 2 3 4" xfId="9556" xr:uid="{DC88BC66-A030-4CD4-9EA8-ADCA5A1BFD4F}"/>
    <cellStyle name="Note 3 2 2 3 5" xfId="18004" xr:uid="{DA1FDBA0-547A-42CD-A6DD-16AB4DADC245}"/>
    <cellStyle name="Note 3 2 2 4" xfId="1430" xr:uid="{00000000-0005-0000-0000-00006B210000}"/>
    <cellStyle name="Note 3 2 2 4 2" xfId="3660" xr:uid="{00000000-0005-0000-0000-00006C210000}"/>
    <cellStyle name="Note 3 2 2 4 2 2" xfId="7882" xr:uid="{00000000-0005-0000-0000-00006D210000}"/>
    <cellStyle name="Note 3 2 2 4 2 2 2" xfId="16332" xr:uid="{7BC9259F-8033-4A3A-9074-03D9FBBC55DD}"/>
    <cellStyle name="Note 3 2 2 4 2 2 3" xfId="24779" xr:uid="{C1A1FB50-42DF-4A8E-B2E7-6126D74DE3FA}"/>
    <cellStyle name="Note 3 2 2 4 2 3" xfId="12114" xr:uid="{9B249EBC-2735-41AB-9AE9-0589EDB6E5CB}"/>
    <cellStyle name="Note 3 2 2 4 2 4" xfId="20562" xr:uid="{92403D16-0610-42CC-A636-BE06BE0B5BF5}"/>
    <cellStyle name="Note 3 2 2 4 3" xfId="5737" xr:uid="{00000000-0005-0000-0000-00006E210000}"/>
    <cellStyle name="Note 3 2 2 4 3 2" xfId="14187" xr:uid="{BDC35BCA-E98B-4889-BC32-9468E5C9F75A}"/>
    <cellStyle name="Note 3 2 2 4 3 3" xfId="22634" xr:uid="{4F6364F7-45C8-4CBD-B503-7CB784FDB36A}"/>
    <cellStyle name="Note 3 2 2 4 4" xfId="9969" xr:uid="{1BD931BC-0257-4696-98F5-04F790BC569C}"/>
    <cellStyle name="Note 3 2 2 4 5" xfId="18417" xr:uid="{BD479C05-5886-4D16-8EE2-E3B668452B3E}"/>
    <cellStyle name="Note 3 2 2 5" xfId="1844" xr:uid="{00000000-0005-0000-0000-00006F210000}"/>
    <cellStyle name="Note 3 2 2 5 2" xfId="4073" xr:uid="{00000000-0005-0000-0000-000070210000}"/>
    <cellStyle name="Note 3 2 2 5 2 2" xfId="8295" xr:uid="{00000000-0005-0000-0000-000071210000}"/>
    <cellStyle name="Note 3 2 2 5 2 2 2" xfId="16745" xr:uid="{D6B113C8-B740-4A7C-8C7B-3045D263B2BB}"/>
    <cellStyle name="Note 3 2 2 5 2 2 3" xfId="25192" xr:uid="{282CEF20-52AA-4DD4-88EE-2D89B391850A}"/>
    <cellStyle name="Note 3 2 2 5 2 3" xfId="12527" xr:uid="{1129B965-DA53-4AF3-A3A1-787F91E99DCC}"/>
    <cellStyle name="Note 3 2 2 5 2 4" xfId="20975" xr:uid="{315B40B7-A301-458F-93EB-0C5E522676A5}"/>
    <cellStyle name="Note 3 2 2 5 3" xfId="6150" xr:uid="{00000000-0005-0000-0000-000072210000}"/>
    <cellStyle name="Note 3 2 2 5 3 2" xfId="14600" xr:uid="{7998AA7C-A477-4E62-95A5-47560071EB93}"/>
    <cellStyle name="Note 3 2 2 5 3 3" xfId="23047" xr:uid="{8A8889C0-07A1-41AD-881D-7F62BB3D2ECE}"/>
    <cellStyle name="Note 3 2 2 5 4" xfId="10382" xr:uid="{1B2B0FA8-C639-4D0E-BF1F-B0B2FD4B05E9}"/>
    <cellStyle name="Note 3 2 2 5 5" xfId="18830" xr:uid="{8341771E-9ABE-46F0-A2B4-5040C2CA3207}"/>
    <cellStyle name="Note 3 2 2 6" xfId="2257" xr:uid="{00000000-0005-0000-0000-000073210000}"/>
    <cellStyle name="Note 3 2 2 6 2" xfId="4486" xr:uid="{00000000-0005-0000-0000-000074210000}"/>
    <cellStyle name="Note 3 2 2 6 2 2" xfId="8708" xr:uid="{00000000-0005-0000-0000-000075210000}"/>
    <cellStyle name="Note 3 2 2 6 2 2 2" xfId="17158" xr:uid="{479EEEF6-AF56-449C-974C-93CF724CF89E}"/>
    <cellStyle name="Note 3 2 2 6 2 2 3" xfId="25605" xr:uid="{E4288DCC-96AF-43CD-99AB-188ACA50A3B4}"/>
    <cellStyle name="Note 3 2 2 6 2 3" xfId="12940" xr:uid="{1933C992-46F8-4AB1-9517-2C027005DF2A}"/>
    <cellStyle name="Note 3 2 2 6 2 4" xfId="21388" xr:uid="{C13806DB-D94C-4C04-9600-8A1A122F75E7}"/>
    <cellStyle name="Note 3 2 2 6 3" xfId="6563" xr:uid="{00000000-0005-0000-0000-000076210000}"/>
    <cellStyle name="Note 3 2 2 6 3 2" xfId="15013" xr:uid="{BDDCD170-2615-49B7-94F7-80F6CEA3CAE2}"/>
    <cellStyle name="Note 3 2 2 6 3 3" xfId="23460" xr:uid="{C2CFF164-ADDA-420D-8244-7B9F17893B0B}"/>
    <cellStyle name="Note 3 2 2 6 4" xfId="10795" xr:uid="{D3E5DE3C-BFDF-422A-990C-F68534051F96}"/>
    <cellStyle name="Note 3 2 2 6 5" xfId="19243" xr:uid="{F67EF233-00F2-4292-BA3D-61551700D156}"/>
    <cellStyle name="Note 3 2 2 7" xfId="2693" xr:uid="{00000000-0005-0000-0000-000077210000}"/>
    <cellStyle name="Note 3 2 2 7 2" xfId="6976" xr:uid="{00000000-0005-0000-0000-000078210000}"/>
    <cellStyle name="Note 3 2 2 7 2 2" xfId="15426" xr:uid="{30E3DD3A-CB58-436F-A8FA-210E5FD811E7}"/>
    <cellStyle name="Note 3 2 2 7 2 3" xfId="23873" xr:uid="{63E27F88-FD38-4B3A-A9FB-9ADEB76A8C55}"/>
    <cellStyle name="Note 3 2 2 7 3" xfId="11208" xr:uid="{0E656FA1-CC1C-46E7-BD8A-7D98D54E8624}"/>
    <cellStyle name="Note 3 2 2 7 4" xfId="19656" xr:uid="{3A6DCE9C-7CD1-41A1-8C83-BA6CAD4162F0}"/>
    <cellStyle name="Note 3 2 2 8" xfId="2752" xr:uid="{00000000-0005-0000-0000-000079210000}"/>
    <cellStyle name="Note 3 2 2 9" xfId="2833" xr:uid="{00000000-0005-0000-0000-00007A210000}"/>
    <cellStyle name="Note 3 2 2 9 2" xfId="7056" xr:uid="{00000000-0005-0000-0000-00007B210000}"/>
    <cellStyle name="Note 3 2 2 9 2 2" xfId="15506" xr:uid="{ECF7A0DB-C801-4B31-8F33-2FA1260F2D38}"/>
    <cellStyle name="Note 3 2 2 9 2 3" xfId="23953" xr:uid="{93493D49-ED21-4604-91CE-5E1B29400868}"/>
    <cellStyle name="Note 3 2 2 9 3" xfId="11288" xr:uid="{B700F856-30FA-4D16-A04F-A88021EC07E0}"/>
    <cellStyle name="Note 3 2 2 9 4" xfId="19736" xr:uid="{C21C8860-70C0-4238-A2C4-5435FF5B9159}"/>
    <cellStyle name="Note 3 2 3" xfId="557" xr:uid="{00000000-0005-0000-0000-00007C210000}"/>
    <cellStyle name="Note 3 2 3 10" xfId="9145" xr:uid="{3B908D2F-141A-4AE7-BDC7-AAEC3A745076}"/>
    <cellStyle name="Note 3 2 3 11" xfId="17593" xr:uid="{4DAE7AC3-036C-4BAA-A8BC-F0765A1031BF}"/>
    <cellStyle name="Note 3 2 3 2" xfId="1017" xr:uid="{00000000-0005-0000-0000-00007D210000}"/>
    <cellStyle name="Note 3 2 3 2 2" xfId="3249" xr:uid="{00000000-0005-0000-0000-00007E210000}"/>
    <cellStyle name="Note 3 2 3 2 2 2" xfId="7471" xr:uid="{00000000-0005-0000-0000-00007F210000}"/>
    <cellStyle name="Note 3 2 3 2 2 2 2" xfId="15921" xr:uid="{82234354-804D-4069-AEA0-1492DB628D5A}"/>
    <cellStyle name="Note 3 2 3 2 2 2 3" xfId="24368" xr:uid="{B0948796-D2C6-48FA-A72B-3384A67BB455}"/>
    <cellStyle name="Note 3 2 3 2 2 3" xfId="11703" xr:uid="{74E3BCA7-2E65-4490-BAF0-2E7ED3D18EAD}"/>
    <cellStyle name="Note 3 2 3 2 2 4" xfId="20151" xr:uid="{BB46AF16-4F51-4298-88B1-DDEA848B478A}"/>
    <cellStyle name="Note 3 2 3 2 3" xfId="5326" xr:uid="{00000000-0005-0000-0000-000080210000}"/>
    <cellStyle name="Note 3 2 3 2 3 2" xfId="13776" xr:uid="{A4F0F3C4-A6B1-4DDC-BAAE-9A5BE971FEA5}"/>
    <cellStyle name="Note 3 2 3 2 3 3" xfId="22223" xr:uid="{4CE5B07D-D5DE-4AAE-9178-4151604708D0}"/>
    <cellStyle name="Note 3 2 3 2 4" xfId="9558" xr:uid="{166E349C-F9B7-491D-981C-275DA0B4F893}"/>
    <cellStyle name="Note 3 2 3 2 5" xfId="18006" xr:uid="{BB9F7B8E-68F8-4A74-AF5B-8C6F668F1087}"/>
    <cellStyle name="Note 3 2 3 3" xfId="1432" xr:uid="{00000000-0005-0000-0000-000081210000}"/>
    <cellStyle name="Note 3 2 3 3 2" xfId="3662" xr:uid="{00000000-0005-0000-0000-000082210000}"/>
    <cellStyle name="Note 3 2 3 3 2 2" xfId="7884" xr:uid="{00000000-0005-0000-0000-000083210000}"/>
    <cellStyle name="Note 3 2 3 3 2 2 2" xfId="16334" xr:uid="{306542AC-5767-4D0C-894A-2F341942D36C}"/>
    <cellStyle name="Note 3 2 3 3 2 2 3" xfId="24781" xr:uid="{6A41BDF1-55AB-4041-98AE-D4581498C55B}"/>
    <cellStyle name="Note 3 2 3 3 2 3" xfId="12116" xr:uid="{87B6B875-3567-437C-A3CE-D471E614D5C5}"/>
    <cellStyle name="Note 3 2 3 3 2 4" xfId="20564" xr:uid="{8AFAED93-DEEA-45BB-88FF-F76EE8724EE1}"/>
    <cellStyle name="Note 3 2 3 3 3" xfId="5739" xr:uid="{00000000-0005-0000-0000-000084210000}"/>
    <cellStyle name="Note 3 2 3 3 3 2" xfId="14189" xr:uid="{0C4D6F72-E4C0-452B-97D8-31E1EB647B9B}"/>
    <cellStyle name="Note 3 2 3 3 3 3" xfId="22636" xr:uid="{43F24258-4F27-4566-8E94-21097F45ADB8}"/>
    <cellStyle name="Note 3 2 3 3 4" xfId="9971" xr:uid="{33CE3FB3-026E-4438-B454-144B376BCC19}"/>
    <cellStyle name="Note 3 2 3 3 5" xfId="18419" xr:uid="{EBB3E526-2661-4D41-8933-681C7FB171B9}"/>
    <cellStyle name="Note 3 2 3 4" xfId="1846" xr:uid="{00000000-0005-0000-0000-000085210000}"/>
    <cellStyle name="Note 3 2 3 4 2" xfId="4075" xr:uid="{00000000-0005-0000-0000-000086210000}"/>
    <cellStyle name="Note 3 2 3 4 2 2" xfId="8297" xr:uid="{00000000-0005-0000-0000-000087210000}"/>
    <cellStyle name="Note 3 2 3 4 2 2 2" xfId="16747" xr:uid="{190E5296-B91D-4EA4-9F56-FD291E70EF5B}"/>
    <cellStyle name="Note 3 2 3 4 2 2 3" xfId="25194" xr:uid="{4FF40A3E-9A85-469A-9408-4F7EFBFD5F53}"/>
    <cellStyle name="Note 3 2 3 4 2 3" xfId="12529" xr:uid="{3F08A968-FB6C-4A79-BE6D-7C19E45DF284}"/>
    <cellStyle name="Note 3 2 3 4 2 4" xfId="20977" xr:uid="{C0E19537-5B84-42DA-9187-36B6A621944A}"/>
    <cellStyle name="Note 3 2 3 4 3" xfId="6152" xr:uid="{00000000-0005-0000-0000-000088210000}"/>
    <cellStyle name="Note 3 2 3 4 3 2" xfId="14602" xr:uid="{3AF31A89-BF3B-43FA-9CBD-94B7EA1EFA21}"/>
    <cellStyle name="Note 3 2 3 4 3 3" xfId="23049" xr:uid="{3ED4B032-8824-4A2E-840C-3A94A49C82F4}"/>
    <cellStyle name="Note 3 2 3 4 4" xfId="10384" xr:uid="{ED0C434E-55AE-4DE6-8380-85FA3A203646}"/>
    <cellStyle name="Note 3 2 3 4 5" xfId="18832" xr:uid="{BC199054-26E6-466B-A262-3C04D4EC2E3F}"/>
    <cellStyle name="Note 3 2 3 5" xfId="2259" xr:uid="{00000000-0005-0000-0000-000089210000}"/>
    <cellStyle name="Note 3 2 3 5 2" xfId="4488" xr:uid="{00000000-0005-0000-0000-00008A210000}"/>
    <cellStyle name="Note 3 2 3 5 2 2" xfId="8710" xr:uid="{00000000-0005-0000-0000-00008B210000}"/>
    <cellStyle name="Note 3 2 3 5 2 2 2" xfId="17160" xr:uid="{3E0CF9E5-3937-4BDB-A559-4C4EF843B4AA}"/>
    <cellStyle name="Note 3 2 3 5 2 2 3" xfId="25607" xr:uid="{499BACCB-BBB2-4BE7-89FD-54FD9B731B8F}"/>
    <cellStyle name="Note 3 2 3 5 2 3" xfId="12942" xr:uid="{8DE2F58E-01FB-4EBA-BD1B-AC567046D9A6}"/>
    <cellStyle name="Note 3 2 3 5 2 4" xfId="21390" xr:uid="{BA1CEF2A-4DB8-40B6-801D-3CD5E0E7589B}"/>
    <cellStyle name="Note 3 2 3 5 3" xfId="6565" xr:uid="{00000000-0005-0000-0000-00008C210000}"/>
    <cellStyle name="Note 3 2 3 5 3 2" xfId="15015" xr:uid="{3C6A1861-0BFB-48D7-A7D1-7CD3B2F59E04}"/>
    <cellStyle name="Note 3 2 3 5 3 3" xfId="23462" xr:uid="{C59E7CE6-F56E-433E-8AC8-B9E10075D6CB}"/>
    <cellStyle name="Note 3 2 3 5 4" xfId="10797" xr:uid="{66D7CCF6-E276-471E-AA29-E24734E95F9F}"/>
    <cellStyle name="Note 3 2 3 5 5" xfId="19245" xr:uid="{80B1C5C7-A054-4102-BF36-09B0E5ECCE25}"/>
    <cellStyle name="Note 3 2 3 6" xfId="2695" xr:uid="{00000000-0005-0000-0000-00008D210000}"/>
    <cellStyle name="Note 3 2 3 6 2" xfId="6978" xr:uid="{00000000-0005-0000-0000-00008E210000}"/>
    <cellStyle name="Note 3 2 3 6 2 2" xfId="15428" xr:uid="{D8D276C7-602F-4F68-8014-70AC4E64CD9F}"/>
    <cellStyle name="Note 3 2 3 6 2 3" xfId="23875" xr:uid="{008F07E7-D4BC-4A63-9751-5F7AC6E191DD}"/>
    <cellStyle name="Note 3 2 3 6 3" xfId="11210" xr:uid="{BC6C030A-5955-478A-BEAF-1494800D8B5C}"/>
    <cellStyle name="Note 3 2 3 6 4" xfId="19658" xr:uid="{DFAD66E9-7DAB-4C5B-A539-E48D82AA8066}"/>
    <cellStyle name="Note 3 2 3 7" xfId="2754" xr:uid="{00000000-0005-0000-0000-00008F210000}"/>
    <cellStyle name="Note 3 2 3 8" xfId="2835" xr:uid="{00000000-0005-0000-0000-000090210000}"/>
    <cellStyle name="Note 3 2 3 8 2" xfId="7058" xr:uid="{00000000-0005-0000-0000-000091210000}"/>
    <cellStyle name="Note 3 2 3 8 2 2" xfId="15508" xr:uid="{158B6588-8896-4213-8E32-4792594DBCE3}"/>
    <cellStyle name="Note 3 2 3 8 2 3" xfId="23955" xr:uid="{876B70F0-3F82-4BB0-93FC-FE48C72BCAE4}"/>
    <cellStyle name="Note 3 2 3 8 3" xfId="11290" xr:uid="{5253EA7B-0BB6-43C1-8247-B7BEF17CE5B4}"/>
    <cellStyle name="Note 3 2 3 8 4" xfId="19738" xr:uid="{935B508A-9323-4673-BB0C-218EBFB931EE}"/>
    <cellStyle name="Note 3 2 3 9" xfId="4913" xr:uid="{00000000-0005-0000-0000-000092210000}"/>
    <cellStyle name="Note 3 2 3 9 2" xfId="13363" xr:uid="{1F5D843C-CC23-43F1-9305-A83E76F66C55}"/>
    <cellStyle name="Note 3 2 3 9 3" xfId="21810" xr:uid="{5F1584AD-3371-4E0F-B37F-EFF4FC64881D}"/>
    <cellStyle name="Note 3 2 4" xfId="1014" xr:uid="{00000000-0005-0000-0000-000093210000}"/>
    <cellStyle name="Note 3 2 4 2" xfId="3246" xr:uid="{00000000-0005-0000-0000-000094210000}"/>
    <cellStyle name="Note 3 2 4 2 2" xfId="7468" xr:uid="{00000000-0005-0000-0000-000095210000}"/>
    <cellStyle name="Note 3 2 4 2 2 2" xfId="15918" xr:uid="{362A8C97-6B8E-4636-A3E0-3F83BF2C383F}"/>
    <cellStyle name="Note 3 2 4 2 2 3" xfId="24365" xr:uid="{4D509A21-55D5-435A-8381-8CC0DCF923B7}"/>
    <cellStyle name="Note 3 2 4 2 3" xfId="11700" xr:uid="{F2D8C90E-2520-4746-9934-25C15701BE5A}"/>
    <cellStyle name="Note 3 2 4 2 4" xfId="20148" xr:uid="{36CC2ECE-DFFF-402A-AAA0-94EB8B7FDE89}"/>
    <cellStyle name="Note 3 2 4 3" xfId="5323" xr:uid="{00000000-0005-0000-0000-000096210000}"/>
    <cellStyle name="Note 3 2 4 3 2" xfId="13773" xr:uid="{BCBB3B16-E837-48CE-935C-F7EAEC8B1062}"/>
    <cellStyle name="Note 3 2 4 3 3" xfId="22220" xr:uid="{18C0DE24-DF83-420F-B909-F04686488038}"/>
    <cellStyle name="Note 3 2 4 4" xfId="9555" xr:uid="{AD187D40-D52D-41C6-9406-F1E2EDE864BA}"/>
    <cellStyle name="Note 3 2 4 5" xfId="18003" xr:uid="{116005AC-762C-4448-9EA2-E93628EC96EC}"/>
    <cellStyle name="Note 3 2 5" xfId="1429" xr:uid="{00000000-0005-0000-0000-000097210000}"/>
    <cellStyle name="Note 3 2 5 2" xfId="3659" xr:uid="{00000000-0005-0000-0000-000098210000}"/>
    <cellStyle name="Note 3 2 5 2 2" xfId="7881" xr:uid="{00000000-0005-0000-0000-000099210000}"/>
    <cellStyle name="Note 3 2 5 2 2 2" xfId="16331" xr:uid="{66DB6F4A-D02F-4BE9-98D1-5C1EA11678FF}"/>
    <cellStyle name="Note 3 2 5 2 2 3" xfId="24778" xr:uid="{20955C65-F294-4798-9233-399C9A2534B8}"/>
    <cellStyle name="Note 3 2 5 2 3" xfId="12113" xr:uid="{292A4478-EFD0-4469-9C6C-B24762F1DF56}"/>
    <cellStyle name="Note 3 2 5 2 4" xfId="20561" xr:uid="{061D9AFF-EBB6-4299-A7FA-C6744A45C7AE}"/>
    <cellStyle name="Note 3 2 5 3" xfId="5736" xr:uid="{00000000-0005-0000-0000-00009A210000}"/>
    <cellStyle name="Note 3 2 5 3 2" xfId="14186" xr:uid="{A7084769-99BD-41C8-9887-CA5F63F88FF9}"/>
    <cellStyle name="Note 3 2 5 3 3" xfId="22633" xr:uid="{31649045-2503-4CA6-97F9-E7549480B134}"/>
    <cellStyle name="Note 3 2 5 4" xfId="9968" xr:uid="{545A8C36-B08D-4B89-BEDC-5A1FFB0D6169}"/>
    <cellStyle name="Note 3 2 5 5" xfId="18416" xr:uid="{D580058F-FBDA-4F3E-B696-43564F97B4CC}"/>
    <cellStyle name="Note 3 2 6" xfId="1843" xr:uid="{00000000-0005-0000-0000-00009B210000}"/>
    <cellStyle name="Note 3 2 6 2" xfId="4072" xr:uid="{00000000-0005-0000-0000-00009C210000}"/>
    <cellStyle name="Note 3 2 6 2 2" xfId="8294" xr:uid="{00000000-0005-0000-0000-00009D210000}"/>
    <cellStyle name="Note 3 2 6 2 2 2" xfId="16744" xr:uid="{82078830-3253-4CF1-A3FB-5078559763ED}"/>
    <cellStyle name="Note 3 2 6 2 2 3" xfId="25191" xr:uid="{70555CE0-8E17-4BA8-935B-5578974FF0ED}"/>
    <cellStyle name="Note 3 2 6 2 3" xfId="12526" xr:uid="{7017F568-2D4F-4CAC-9085-DD7F91BC1780}"/>
    <cellStyle name="Note 3 2 6 2 4" xfId="20974" xr:uid="{42090E50-4671-4501-9089-3855ADD9D435}"/>
    <cellStyle name="Note 3 2 6 3" xfId="6149" xr:uid="{00000000-0005-0000-0000-00009E210000}"/>
    <cellStyle name="Note 3 2 6 3 2" xfId="14599" xr:uid="{E274A7C8-68D6-44B7-99ED-3977AA00D9C8}"/>
    <cellStyle name="Note 3 2 6 3 3" xfId="23046" xr:uid="{A7740C29-3FCA-4653-92FA-E851BDD12775}"/>
    <cellStyle name="Note 3 2 6 4" xfId="10381" xr:uid="{2206FD24-0213-4DA4-AFE1-BB0DEDEAE24E}"/>
    <cellStyle name="Note 3 2 6 5" xfId="18829" xr:uid="{72DC234D-0A50-4F66-8525-36E97273D83A}"/>
    <cellStyle name="Note 3 2 7" xfId="2256" xr:uid="{00000000-0005-0000-0000-00009F210000}"/>
    <cellStyle name="Note 3 2 7 2" xfId="4485" xr:uid="{00000000-0005-0000-0000-0000A0210000}"/>
    <cellStyle name="Note 3 2 7 2 2" xfId="8707" xr:uid="{00000000-0005-0000-0000-0000A1210000}"/>
    <cellStyle name="Note 3 2 7 2 2 2" xfId="17157" xr:uid="{A04E1678-3D06-4373-8AF3-FA2DCC77A81E}"/>
    <cellStyle name="Note 3 2 7 2 2 3" xfId="25604" xr:uid="{EF2BAE17-D2E4-46A8-9392-22B11E7FD8D2}"/>
    <cellStyle name="Note 3 2 7 2 3" xfId="12939" xr:uid="{783D69E2-C1E5-4087-B96A-286C6868AAD8}"/>
    <cellStyle name="Note 3 2 7 2 4" xfId="21387" xr:uid="{999EAE5C-2935-4E5D-8E7D-0B479274F871}"/>
    <cellStyle name="Note 3 2 7 3" xfId="6562" xr:uid="{00000000-0005-0000-0000-0000A2210000}"/>
    <cellStyle name="Note 3 2 7 3 2" xfId="15012" xr:uid="{863AE370-C4D8-4DA3-88A3-793B80D57BF4}"/>
    <cellStyle name="Note 3 2 7 3 3" xfId="23459" xr:uid="{3DA6749C-6D54-45E8-A294-57A81091B95F}"/>
    <cellStyle name="Note 3 2 7 4" xfId="10794" xr:uid="{7AC84753-9A1B-45B8-BE4C-1630F0DE33E3}"/>
    <cellStyle name="Note 3 2 7 5" xfId="19242" xr:uid="{844ED6B6-B4A2-4CCA-8824-D6CD025D6C0F}"/>
    <cellStyle name="Note 3 2 8" xfId="2692" xr:uid="{00000000-0005-0000-0000-0000A3210000}"/>
    <cellStyle name="Note 3 2 8 2" xfId="6975" xr:uid="{00000000-0005-0000-0000-0000A4210000}"/>
    <cellStyle name="Note 3 2 8 2 2" xfId="15425" xr:uid="{2F021F8C-DA1E-4E43-9094-E789AB7F5917}"/>
    <cellStyle name="Note 3 2 8 2 3" xfId="23872" xr:uid="{ABE42362-37AF-47B4-BB95-8ABBD61998E8}"/>
    <cellStyle name="Note 3 2 8 3" xfId="11207" xr:uid="{03B34E82-8E11-4CAB-A4F5-263AD092A163}"/>
    <cellStyle name="Note 3 2 8 4" xfId="19655" xr:uid="{B54FA35B-581C-489A-892A-593B3CAF8397}"/>
    <cellStyle name="Note 3 2 9" xfId="2751" xr:uid="{00000000-0005-0000-0000-0000A5210000}"/>
    <cellStyle name="Note 3 3" xfId="558" xr:uid="{00000000-0005-0000-0000-0000A6210000}"/>
    <cellStyle name="Note 3 3 10" xfId="4914" xr:uid="{00000000-0005-0000-0000-0000A7210000}"/>
    <cellStyle name="Note 3 3 10 2" xfId="13364" xr:uid="{85A38BC0-E948-48AE-9A7E-85743F0199E3}"/>
    <cellStyle name="Note 3 3 10 3" xfId="21811" xr:uid="{DD440BB5-5E16-48D7-BB54-1C9D41F863B9}"/>
    <cellStyle name="Note 3 3 11" xfId="9146" xr:uid="{C6830BB9-EFB5-44A9-8AF1-2A2022DE1CCF}"/>
    <cellStyle name="Note 3 3 12" xfId="17594" xr:uid="{D36CF277-283E-4D3E-9096-4E3B2B0D73C2}"/>
    <cellStyle name="Note 3 3 2" xfId="559" xr:uid="{00000000-0005-0000-0000-0000A8210000}"/>
    <cellStyle name="Note 3 3 2 10" xfId="9147" xr:uid="{6499E13E-3CC1-4328-99E5-8D1750670FDE}"/>
    <cellStyle name="Note 3 3 2 11" xfId="17595" xr:uid="{3EB726AF-1767-47BD-BF7B-74497FE0EA0B}"/>
    <cellStyle name="Note 3 3 2 2" xfId="1019" xr:uid="{00000000-0005-0000-0000-0000A9210000}"/>
    <cellStyle name="Note 3 3 2 2 2" xfId="3251" xr:uid="{00000000-0005-0000-0000-0000AA210000}"/>
    <cellStyle name="Note 3 3 2 2 2 2" xfId="7473" xr:uid="{00000000-0005-0000-0000-0000AB210000}"/>
    <cellStyle name="Note 3 3 2 2 2 2 2" xfId="15923" xr:uid="{64CB7517-A191-4128-A36E-D6B95933E997}"/>
    <cellStyle name="Note 3 3 2 2 2 2 3" xfId="24370" xr:uid="{5C50F632-DA2F-4511-946A-B47D9D1B0CC2}"/>
    <cellStyle name="Note 3 3 2 2 2 3" xfId="11705" xr:uid="{C5EB9AE5-DDDD-414F-9561-4F2CD504E5FB}"/>
    <cellStyle name="Note 3 3 2 2 2 4" xfId="20153" xr:uid="{EDBC7DE1-B7A5-42DE-89DC-844971543AB2}"/>
    <cellStyle name="Note 3 3 2 2 3" xfId="5328" xr:uid="{00000000-0005-0000-0000-0000AC210000}"/>
    <cellStyle name="Note 3 3 2 2 3 2" xfId="13778" xr:uid="{1128F20A-F854-4426-922F-320C37662948}"/>
    <cellStyle name="Note 3 3 2 2 3 3" xfId="22225" xr:uid="{6260EC1F-C2BF-42BB-86AB-FADC8E8B8AB4}"/>
    <cellStyle name="Note 3 3 2 2 4" xfId="9560" xr:uid="{06721EB1-E0F2-4120-9BF2-0AE320EB9A41}"/>
    <cellStyle name="Note 3 3 2 2 5" xfId="18008" xr:uid="{C0C62128-1858-4B1F-85A4-6BFEF95A760F}"/>
    <cellStyle name="Note 3 3 2 3" xfId="1434" xr:uid="{00000000-0005-0000-0000-0000AD210000}"/>
    <cellStyle name="Note 3 3 2 3 2" xfId="3664" xr:uid="{00000000-0005-0000-0000-0000AE210000}"/>
    <cellStyle name="Note 3 3 2 3 2 2" xfId="7886" xr:uid="{00000000-0005-0000-0000-0000AF210000}"/>
    <cellStyle name="Note 3 3 2 3 2 2 2" xfId="16336" xr:uid="{0CFDAED0-0383-4244-B3A3-C90792E2E262}"/>
    <cellStyle name="Note 3 3 2 3 2 2 3" xfId="24783" xr:uid="{C7B3D55B-44A4-4CD4-B911-E1523CB8A6E9}"/>
    <cellStyle name="Note 3 3 2 3 2 3" xfId="12118" xr:uid="{8F8E8031-0BB0-47F0-B865-7C0518645080}"/>
    <cellStyle name="Note 3 3 2 3 2 4" xfId="20566" xr:uid="{99D812C3-5858-42AE-B534-A51995216AC8}"/>
    <cellStyle name="Note 3 3 2 3 3" xfId="5741" xr:uid="{00000000-0005-0000-0000-0000B0210000}"/>
    <cellStyle name="Note 3 3 2 3 3 2" xfId="14191" xr:uid="{E8EF17E2-534C-45CC-938D-05B5F9664DCB}"/>
    <cellStyle name="Note 3 3 2 3 3 3" xfId="22638" xr:uid="{EAA1B67F-6EB1-42F8-88B4-6D5016006F2D}"/>
    <cellStyle name="Note 3 3 2 3 4" xfId="9973" xr:uid="{CAE34313-C1D5-440F-B5FE-81EC0936B915}"/>
    <cellStyle name="Note 3 3 2 3 5" xfId="18421" xr:uid="{8047D136-31A8-4D4C-8957-AFB21FCF8581}"/>
    <cellStyle name="Note 3 3 2 4" xfId="1848" xr:uid="{00000000-0005-0000-0000-0000B1210000}"/>
    <cellStyle name="Note 3 3 2 4 2" xfId="4077" xr:uid="{00000000-0005-0000-0000-0000B2210000}"/>
    <cellStyle name="Note 3 3 2 4 2 2" xfId="8299" xr:uid="{00000000-0005-0000-0000-0000B3210000}"/>
    <cellStyle name="Note 3 3 2 4 2 2 2" xfId="16749" xr:uid="{7D44775F-9998-4188-AEA1-2A1840188E9E}"/>
    <cellStyle name="Note 3 3 2 4 2 2 3" xfId="25196" xr:uid="{C5C11E5F-7129-49C0-A53B-C071D20C3D97}"/>
    <cellStyle name="Note 3 3 2 4 2 3" xfId="12531" xr:uid="{B3219232-618B-40D2-AC92-E12F12E29EDD}"/>
    <cellStyle name="Note 3 3 2 4 2 4" xfId="20979" xr:uid="{977D9287-2801-41E7-975E-B168A4406665}"/>
    <cellStyle name="Note 3 3 2 4 3" xfId="6154" xr:uid="{00000000-0005-0000-0000-0000B4210000}"/>
    <cellStyle name="Note 3 3 2 4 3 2" xfId="14604" xr:uid="{30265867-D83D-4F80-B1E1-D850EFEE13AB}"/>
    <cellStyle name="Note 3 3 2 4 3 3" xfId="23051" xr:uid="{2912245F-B0B0-4BE4-A67D-B54F88274D42}"/>
    <cellStyle name="Note 3 3 2 4 4" xfId="10386" xr:uid="{24549CE1-641E-446C-8699-9BDFC38A09E9}"/>
    <cellStyle name="Note 3 3 2 4 5" xfId="18834" xr:uid="{66E0F61D-E099-4956-8B8F-E0A4D21C075E}"/>
    <cellStyle name="Note 3 3 2 5" xfId="2261" xr:uid="{00000000-0005-0000-0000-0000B5210000}"/>
    <cellStyle name="Note 3 3 2 5 2" xfId="4490" xr:uid="{00000000-0005-0000-0000-0000B6210000}"/>
    <cellStyle name="Note 3 3 2 5 2 2" xfId="8712" xr:uid="{00000000-0005-0000-0000-0000B7210000}"/>
    <cellStyle name="Note 3 3 2 5 2 2 2" xfId="17162" xr:uid="{AD8FD1A9-B7A1-4D9E-B50A-9467E2ACEF75}"/>
    <cellStyle name="Note 3 3 2 5 2 2 3" xfId="25609" xr:uid="{C57F44C5-9190-492F-B9BB-02E94886B008}"/>
    <cellStyle name="Note 3 3 2 5 2 3" xfId="12944" xr:uid="{F9B79BC0-D1C2-4008-8144-20A9EC76BC53}"/>
    <cellStyle name="Note 3 3 2 5 2 4" xfId="21392" xr:uid="{6BE4ECEC-6829-4C3D-95C0-3E5A1BB89869}"/>
    <cellStyle name="Note 3 3 2 5 3" xfId="6567" xr:uid="{00000000-0005-0000-0000-0000B8210000}"/>
    <cellStyle name="Note 3 3 2 5 3 2" xfId="15017" xr:uid="{9914A6E0-3975-458D-8019-B141B158CE28}"/>
    <cellStyle name="Note 3 3 2 5 3 3" xfId="23464" xr:uid="{FD402973-3CA2-40E2-B31F-F14C8A02A1F3}"/>
    <cellStyle name="Note 3 3 2 5 4" xfId="10799" xr:uid="{FDDDDB95-6B9D-4809-A70D-2C4ADA3D740A}"/>
    <cellStyle name="Note 3 3 2 5 5" xfId="19247" xr:uid="{BB66A96C-0A82-446A-9694-284AF8ADBEDA}"/>
    <cellStyle name="Note 3 3 2 6" xfId="2697" xr:uid="{00000000-0005-0000-0000-0000B9210000}"/>
    <cellStyle name="Note 3 3 2 6 2" xfId="6980" xr:uid="{00000000-0005-0000-0000-0000BA210000}"/>
    <cellStyle name="Note 3 3 2 6 2 2" xfId="15430" xr:uid="{6AE913C7-9BE5-474A-A354-B8DB29D004B2}"/>
    <cellStyle name="Note 3 3 2 6 2 3" xfId="23877" xr:uid="{E134CBCA-40A2-49AB-ABD8-E610A36FBCE2}"/>
    <cellStyle name="Note 3 3 2 6 3" xfId="11212" xr:uid="{6A6DC893-E9B7-4145-AF9E-45B29029EE86}"/>
    <cellStyle name="Note 3 3 2 6 4" xfId="19660" xr:uid="{44904DC5-6D44-434D-B82F-66A59DFB14BA}"/>
    <cellStyle name="Note 3 3 2 7" xfId="2756" xr:uid="{00000000-0005-0000-0000-0000BB210000}"/>
    <cellStyle name="Note 3 3 2 8" xfId="2837" xr:uid="{00000000-0005-0000-0000-0000BC210000}"/>
    <cellStyle name="Note 3 3 2 8 2" xfId="7060" xr:uid="{00000000-0005-0000-0000-0000BD210000}"/>
    <cellStyle name="Note 3 3 2 8 2 2" xfId="15510" xr:uid="{D56403E4-2C02-44CC-A464-3F7A6F07908B}"/>
    <cellStyle name="Note 3 3 2 8 2 3" xfId="23957" xr:uid="{67B72FC4-410D-4D89-ABC5-39C547CED824}"/>
    <cellStyle name="Note 3 3 2 8 3" xfId="11292" xr:uid="{7A2E5941-5D72-4380-A6F4-4FFF1C313AEE}"/>
    <cellStyle name="Note 3 3 2 8 4" xfId="19740" xr:uid="{AD402A23-412C-4F10-B7F5-3D66CC64B7C9}"/>
    <cellStyle name="Note 3 3 2 9" xfId="4915" xr:uid="{00000000-0005-0000-0000-0000BE210000}"/>
    <cellStyle name="Note 3 3 2 9 2" xfId="13365" xr:uid="{672DE2D4-07C8-4BBB-826C-5F00DEE7CCA2}"/>
    <cellStyle name="Note 3 3 2 9 3" xfId="21812" xr:uid="{915AE17E-709D-49E4-8D42-82562573FA75}"/>
    <cellStyle name="Note 3 3 3" xfId="1018" xr:uid="{00000000-0005-0000-0000-0000BF210000}"/>
    <cellStyle name="Note 3 3 3 2" xfId="3250" xr:uid="{00000000-0005-0000-0000-0000C0210000}"/>
    <cellStyle name="Note 3 3 3 2 2" xfId="7472" xr:uid="{00000000-0005-0000-0000-0000C1210000}"/>
    <cellStyle name="Note 3 3 3 2 2 2" xfId="15922" xr:uid="{9A2BA058-E04B-4C28-B088-08DF6E9C76ED}"/>
    <cellStyle name="Note 3 3 3 2 2 3" xfId="24369" xr:uid="{4417E9C5-2236-4F89-82D9-92EFAE72298D}"/>
    <cellStyle name="Note 3 3 3 2 3" xfId="11704" xr:uid="{3EA3D8C5-8222-41B8-9A22-431BE92C8C96}"/>
    <cellStyle name="Note 3 3 3 2 4" xfId="20152" xr:uid="{5F7415DF-D769-4DD4-8F03-45AB020A173E}"/>
    <cellStyle name="Note 3 3 3 3" xfId="5327" xr:uid="{00000000-0005-0000-0000-0000C2210000}"/>
    <cellStyle name="Note 3 3 3 3 2" xfId="13777" xr:uid="{25ECD6EB-EAE4-47B9-90CD-12553A77AA37}"/>
    <cellStyle name="Note 3 3 3 3 3" xfId="22224" xr:uid="{ED3D4BEB-B316-4229-B4DF-1D8F1EECFC41}"/>
    <cellStyle name="Note 3 3 3 4" xfId="9559" xr:uid="{86E1637B-BBBD-4301-8081-8CF44C271F0E}"/>
    <cellStyle name="Note 3 3 3 5" xfId="18007" xr:uid="{F716283E-070F-4FE1-880C-280AA7C0B43B}"/>
    <cellStyle name="Note 3 3 4" xfId="1433" xr:uid="{00000000-0005-0000-0000-0000C3210000}"/>
    <cellStyle name="Note 3 3 4 2" xfId="3663" xr:uid="{00000000-0005-0000-0000-0000C4210000}"/>
    <cellStyle name="Note 3 3 4 2 2" xfId="7885" xr:uid="{00000000-0005-0000-0000-0000C5210000}"/>
    <cellStyle name="Note 3 3 4 2 2 2" xfId="16335" xr:uid="{9AEFD7A3-2BE5-4861-AC6B-C77C0512D15B}"/>
    <cellStyle name="Note 3 3 4 2 2 3" xfId="24782" xr:uid="{D10FEF95-457E-4F16-8A57-27244C750CD1}"/>
    <cellStyle name="Note 3 3 4 2 3" xfId="12117" xr:uid="{80453C3A-26BB-424E-8073-5C0E8B1BEFC2}"/>
    <cellStyle name="Note 3 3 4 2 4" xfId="20565" xr:uid="{BE8AB084-167F-41A3-B8A1-D53247AC4320}"/>
    <cellStyle name="Note 3 3 4 3" xfId="5740" xr:uid="{00000000-0005-0000-0000-0000C6210000}"/>
    <cellStyle name="Note 3 3 4 3 2" xfId="14190" xr:uid="{051A715D-DBA5-4DF7-B1B9-D5DEEFDE258C}"/>
    <cellStyle name="Note 3 3 4 3 3" xfId="22637" xr:uid="{51301B86-DD36-4423-910D-409B815EEB63}"/>
    <cellStyle name="Note 3 3 4 4" xfId="9972" xr:uid="{A98A2E8B-40BD-4B2E-BD40-0D79EC8F4E48}"/>
    <cellStyle name="Note 3 3 4 5" xfId="18420" xr:uid="{6F46A470-836F-4EAD-9CFA-2EB854D3A1C1}"/>
    <cellStyle name="Note 3 3 5" xfId="1847" xr:uid="{00000000-0005-0000-0000-0000C7210000}"/>
    <cellStyle name="Note 3 3 5 2" xfId="4076" xr:uid="{00000000-0005-0000-0000-0000C8210000}"/>
    <cellStyle name="Note 3 3 5 2 2" xfId="8298" xr:uid="{00000000-0005-0000-0000-0000C9210000}"/>
    <cellStyle name="Note 3 3 5 2 2 2" xfId="16748" xr:uid="{F140C0C2-7EE2-4D8A-82D0-F7493ADF3C9A}"/>
    <cellStyle name="Note 3 3 5 2 2 3" xfId="25195" xr:uid="{BF5221C8-57F9-4D18-972C-0288DAFFD92B}"/>
    <cellStyle name="Note 3 3 5 2 3" xfId="12530" xr:uid="{6639EDD2-D204-460B-A6E7-141908B1610B}"/>
    <cellStyle name="Note 3 3 5 2 4" xfId="20978" xr:uid="{BE48E571-5BB5-4D83-A2B1-9F4B11A7F570}"/>
    <cellStyle name="Note 3 3 5 3" xfId="6153" xr:uid="{00000000-0005-0000-0000-0000CA210000}"/>
    <cellStyle name="Note 3 3 5 3 2" xfId="14603" xr:uid="{93F678BD-7320-42BF-B8E0-01580660112A}"/>
    <cellStyle name="Note 3 3 5 3 3" xfId="23050" xr:uid="{85329BAB-BEF0-49A8-85C9-29D0B46837B1}"/>
    <cellStyle name="Note 3 3 5 4" xfId="10385" xr:uid="{A79E8138-2B23-40DA-93C0-6543A2A75C41}"/>
    <cellStyle name="Note 3 3 5 5" xfId="18833" xr:uid="{D81F70CA-E0A7-4EDC-931A-41721A56EDB6}"/>
    <cellStyle name="Note 3 3 6" xfId="2260" xr:uid="{00000000-0005-0000-0000-0000CB210000}"/>
    <cellStyle name="Note 3 3 6 2" xfId="4489" xr:uid="{00000000-0005-0000-0000-0000CC210000}"/>
    <cellStyle name="Note 3 3 6 2 2" xfId="8711" xr:uid="{00000000-0005-0000-0000-0000CD210000}"/>
    <cellStyle name="Note 3 3 6 2 2 2" xfId="17161" xr:uid="{7B5F5F54-2FD1-480E-85B7-D89CA3312EB2}"/>
    <cellStyle name="Note 3 3 6 2 2 3" xfId="25608" xr:uid="{4DEA587C-5E97-45DF-969E-FB91AC3906EB}"/>
    <cellStyle name="Note 3 3 6 2 3" xfId="12943" xr:uid="{FA3D5D5B-7C05-4FA4-AA12-3EA04B326C3E}"/>
    <cellStyle name="Note 3 3 6 2 4" xfId="21391" xr:uid="{B4E75E74-7C27-4EDB-909C-B4190A84645B}"/>
    <cellStyle name="Note 3 3 6 3" xfId="6566" xr:uid="{00000000-0005-0000-0000-0000CE210000}"/>
    <cellStyle name="Note 3 3 6 3 2" xfId="15016" xr:uid="{2E7E49F2-5560-43C1-B27C-F8D42DCD3E59}"/>
    <cellStyle name="Note 3 3 6 3 3" xfId="23463" xr:uid="{1E515BE0-EFD9-4D34-A6F2-706B8CE5B3CF}"/>
    <cellStyle name="Note 3 3 6 4" xfId="10798" xr:uid="{B7CBE791-ABBF-4A5E-9187-BB40148C9809}"/>
    <cellStyle name="Note 3 3 6 5" xfId="19246" xr:uid="{9F5E5AAD-57AE-4D20-B979-5B1F09623E7A}"/>
    <cellStyle name="Note 3 3 7" xfId="2696" xr:uid="{00000000-0005-0000-0000-0000CF210000}"/>
    <cellStyle name="Note 3 3 7 2" xfId="6979" xr:uid="{00000000-0005-0000-0000-0000D0210000}"/>
    <cellStyle name="Note 3 3 7 2 2" xfId="15429" xr:uid="{91AAA3C4-E167-4550-B659-46593C7AAFC9}"/>
    <cellStyle name="Note 3 3 7 2 3" xfId="23876" xr:uid="{3F4CA6B8-F3FD-49FE-9D3D-90AD361EA95C}"/>
    <cellStyle name="Note 3 3 7 3" xfId="11211" xr:uid="{10C95F8D-F00F-4A39-811D-E2A697C4F0ED}"/>
    <cellStyle name="Note 3 3 7 4" xfId="19659" xr:uid="{A41CB981-AF80-47E3-9267-74142F3522E9}"/>
    <cellStyle name="Note 3 3 8" xfId="2755" xr:uid="{00000000-0005-0000-0000-0000D1210000}"/>
    <cellStyle name="Note 3 3 9" xfId="2836" xr:uid="{00000000-0005-0000-0000-0000D2210000}"/>
    <cellStyle name="Note 3 3 9 2" xfId="7059" xr:uid="{00000000-0005-0000-0000-0000D3210000}"/>
    <cellStyle name="Note 3 3 9 2 2" xfId="15509" xr:uid="{3B6286E6-DED7-4D88-AC1C-E8D4937441F0}"/>
    <cellStyle name="Note 3 3 9 2 3" xfId="23956" xr:uid="{CAF14507-9306-44A1-9398-68786EC5CA4A}"/>
    <cellStyle name="Note 3 3 9 3" xfId="11291" xr:uid="{544ABF3E-9084-4B6D-BA2E-FD318253EDCA}"/>
    <cellStyle name="Note 3 3 9 4" xfId="19739" xr:uid="{2E32D596-C76F-47F7-8A04-E47611F209A1}"/>
    <cellStyle name="Note 3 4" xfId="560" xr:uid="{00000000-0005-0000-0000-0000D4210000}"/>
    <cellStyle name="Note 3 4 10" xfId="9148" xr:uid="{C3FEB351-C0FE-46EE-9A5D-8D21068137F0}"/>
    <cellStyle name="Note 3 4 11" xfId="17596" xr:uid="{A78654CA-2EDC-408D-85CF-776116A387F6}"/>
    <cellStyle name="Note 3 4 2" xfId="1020" xr:uid="{00000000-0005-0000-0000-0000D5210000}"/>
    <cellStyle name="Note 3 4 2 2" xfId="3252" xr:uid="{00000000-0005-0000-0000-0000D6210000}"/>
    <cellStyle name="Note 3 4 2 2 2" xfId="7474" xr:uid="{00000000-0005-0000-0000-0000D7210000}"/>
    <cellStyle name="Note 3 4 2 2 2 2" xfId="15924" xr:uid="{5F668501-22F2-46B9-AA07-B2ED6330AF91}"/>
    <cellStyle name="Note 3 4 2 2 2 3" xfId="24371" xr:uid="{E60CA5C1-9989-4078-9700-EE10E1C4B579}"/>
    <cellStyle name="Note 3 4 2 2 3" xfId="11706" xr:uid="{ECA2E487-8B36-48CE-A10F-FB2E6E6D86DA}"/>
    <cellStyle name="Note 3 4 2 2 4" xfId="20154" xr:uid="{26B4AD34-4F9F-4592-8CE1-B2B7C18BEB42}"/>
    <cellStyle name="Note 3 4 2 3" xfId="5329" xr:uid="{00000000-0005-0000-0000-0000D8210000}"/>
    <cellStyle name="Note 3 4 2 3 2" xfId="13779" xr:uid="{03244540-78AA-48B6-8724-61EB686170C6}"/>
    <cellStyle name="Note 3 4 2 3 3" xfId="22226" xr:uid="{237EBCC1-6EBF-4842-BEC9-2ED5E82F8D49}"/>
    <cellStyle name="Note 3 4 2 4" xfId="9561" xr:uid="{9D7873DE-F375-45C2-A799-8F661CE4EE8F}"/>
    <cellStyle name="Note 3 4 2 5" xfId="18009" xr:uid="{5891AD89-B3B8-4E78-AE8B-46946150FB20}"/>
    <cellStyle name="Note 3 4 3" xfId="1435" xr:uid="{00000000-0005-0000-0000-0000D9210000}"/>
    <cellStyle name="Note 3 4 3 2" xfId="3665" xr:uid="{00000000-0005-0000-0000-0000DA210000}"/>
    <cellStyle name="Note 3 4 3 2 2" xfId="7887" xr:uid="{00000000-0005-0000-0000-0000DB210000}"/>
    <cellStyle name="Note 3 4 3 2 2 2" xfId="16337" xr:uid="{5F1350B7-C220-45E8-BBF7-1397F30C8A01}"/>
    <cellStyle name="Note 3 4 3 2 2 3" xfId="24784" xr:uid="{49AC2478-E525-4C1E-8E12-9EC832C644E1}"/>
    <cellStyle name="Note 3 4 3 2 3" xfId="12119" xr:uid="{F0F6B43F-2518-4944-BF90-AB2BA24BC4DE}"/>
    <cellStyle name="Note 3 4 3 2 4" xfId="20567" xr:uid="{56EDB6CC-158B-4D74-882E-08EA93D26CDB}"/>
    <cellStyle name="Note 3 4 3 3" xfId="5742" xr:uid="{00000000-0005-0000-0000-0000DC210000}"/>
    <cellStyle name="Note 3 4 3 3 2" xfId="14192" xr:uid="{EA326DCE-27F3-48F9-9B4A-B12DF4C3F341}"/>
    <cellStyle name="Note 3 4 3 3 3" xfId="22639" xr:uid="{E820C04F-48DE-4B10-9276-51569265B281}"/>
    <cellStyle name="Note 3 4 3 4" xfId="9974" xr:uid="{C9C96AC4-B264-4D65-B6E9-72C5E53E36AF}"/>
    <cellStyle name="Note 3 4 3 5" xfId="18422" xr:uid="{3998CB69-C800-4816-BBB0-E86D05CE7AB1}"/>
    <cellStyle name="Note 3 4 4" xfId="1849" xr:uid="{00000000-0005-0000-0000-0000DD210000}"/>
    <cellStyle name="Note 3 4 4 2" xfId="4078" xr:uid="{00000000-0005-0000-0000-0000DE210000}"/>
    <cellStyle name="Note 3 4 4 2 2" xfId="8300" xr:uid="{00000000-0005-0000-0000-0000DF210000}"/>
    <cellStyle name="Note 3 4 4 2 2 2" xfId="16750" xr:uid="{100914B0-9AF4-43F6-A579-2E6A433E3C94}"/>
    <cellStyle name="Note 3 4 4 2 2 3" xfId="25197" xr:uid="{38912909-EF3F-4C4C-8535-75323900E49C}"/>
    <cellStyle name="Note 3 4 4 2 3" xfId="12532" xr:uid="{A6F958AF-FE06-4520-ADAB-F105F9ABE517}"/>
    <cellStyle name="Note 3 4 4 2 4" xfId="20980" xr:uid="{860137BD-55E7-4A99-8A04-7037E56A18D0}"/>
    <cellStyle name="Note 3 4 4 3" xfId="6155" xr:uid="{00000000-0005-0000-0000-0000E0210000}"/>
    <cellStyle name="Note 3 4 4 3 2" xfId="14605" xr:uid="{788DD19B-ADB6-4880-9728-67C1C53F09CC}"/>
    <cellStyle name="Note 3 4 4 3 3" xfId="23052" xr:uid="{05A31D97-8C98-4626-894A-D1BBBF920FAF}"/>
    <cellStyle name="Note 3 4 4 4" xfId="10387" xr:uid="{08DC4787-0063-476B-8A80-860EB9EA4B26}"/>
    <cellStyle name="Note 3 4 4 5" xfId="18835" xr:uid="{E7D4CBEB-358A-4100-BEEE-65A5FFCE90A3}"/>
    <cellStyle name="Note 3 4 5" xfId="2262" xr:uid="{00000000-0005-0000-0000-0000E1210000}"/>
    <cellStyle name="Note 3 4 5 2" xfId="4491" xr:uid="{00000000-0005-0000-0000-0000E2210000}"/>
    <cellStyle name="Note 3 4 5 2 2" xfId="8713" xr:uid="{00000000-0005-0000-0000-0000E3210000}"/>
    <cellStyle name="Note 3 4 5 2 2 2" xfId="17163" xr:uid="{00694482-E938-4292-8098-B6ED5B308007}"/>
    <cellStyle name="Note 3 4 5 2 2 3" xfId="25610" xr:uid="{172EC3FD-0012-41B6-B211-E0C1F82FA6E3}"/>
    <cellStyle name="Note 3 4 5 2 3" xfId="12945" xr:uid="{33FA18E0-4990-4FCB-A73B-2419BA38016E}"/>
    <cellStyle name="Note 3 4 5 2 4" xfId="21393" xr:uid="{21BB1EA1-0475-4494-88E7-BB2EED3D3183}"/>
    <cellStyle name="Note 3 4 5 3" xfId="6568" xr:uid="{00000000-0005-0000-0000-0000E4210000}"/>
    <cellStyle name="Note 3 4 5 3 2" xfId="15018" xr:uid="{879AA04E-0E00-444C-9659-8C0962D1800B}"/>
    <cellStyle name="Note 3 4 5 3 3" xfId="23465" xr:uid="{B762B87C-BB7E-4F3E-B6F0-D129A5536083}"/>
    <cellStyle name="Note 3 4 5 4" xfId="10800" xr:uid="{61A542E7-F709-4EBB-A727-466139568ED7}"/>
    <cellStyle name="Note 3 4 5 5" xfId="19248" xr:uid="{A442BF30-0AE9-4852-B102-25C133DBDD74}"/>
    <cellStyle name="Note 3 4 6" xfId="2698" xr:uid="{00000000-0005-0000-0000-0000E5210000}"/>
    <cellStyle name="Note 3 4 6 2" xfId="6981" xr:uid="{00000000-0005-0000-0000-0000E6210000}"/>
    <cellStyle name="Note 3 4 6 2 2" xfId="15431" xr:uid="{F74F9026-3389-4A22-B2B1-7E3D84FE8E17}"/>
    <cellStyle name="Note 3 4 6 2 3" xfId="23878" xr:uid="{B68F040A-C206-4988-86B0-F3393D93EFFD}"/>
    <cellStyle name="Note 3 4 6 3" xfId="11213" xr:uid="{3F6F412B-12EC-4C18-AD0E-C3E75F7FB8A6}"/>
    <cellStyle name="Note 3 4 6 4" xfId="19661" xr:uid="{CDF7AEFA-91FD-4260-9943-B83E3D1DCB7C}"/>
    <cellStyle name="Note 3 4 7" xfId="2757" xr:uid="{00000000-0005-0000-0000-0000E7210000}"/>
    <cellStyle name="Note 3 4 8" xfId="2838" xr:uid="{00000000-0005-0000-0000-0000E8210000}"/>
    <cellStyle name="Note 3 4 8 2" xfId="7061" xr:uid="{00000000-0005-0000-0000-0000E9210000}"/>
    <cellStyle name="Note 3 4 8 2 2" xfId="15511" xr:uid="{02B9D74C-3B8F-4F3A-8BD3-7E7DE93B0163}"/>
    <cellStyle name="Note 3 4 8 2 3" xfId="23958" xr:uid="{FB59289B-7BBF-4783-8092-9D4F4DDA49EF}"/>
    <cellStyle name="Note 3 4 8 3" xfId="11293" xr:uid="{58AACC5B-28E6-4337-9E10-658576BCBEA8}"/>
    <cellStyle name="Note 3 4 8 4" xfId="19741" xr:uid="{3C2F5250-C04B-4355-8708-8FA6FC9A8085}"/>
    <cellStyle name="Note 3 4 9" xfId="4916" xr:uid="{00000000-0005-0000-0000-0000EA210000}"/>
    <cellStyle name="Note 3 4 9 2" xfId="13366" xr:uid="{B522609D-E876-47E6-81D1-03F65872D846}"/>
    <cellStyle name="Note 3 4 9 3" xfId="21813" xr:uid="{1339DBCA-0D94-4B76-A950-E6427FF9DAB3}"/>
    <cellStyle name="Note 3 5" xfId="561" xr:uid="{00000000-0005-0000-0000-0000EB210000}"/>
    <cellStyle name="Note 3 5 10" xfId="9149" xr:uid="{B6D66041-BDC0-4B8F-BECA-F4F94E54DE21}"/>
    <cellStyle name="Note 3 5 11" xfId="17597" xr:uid="{9850FF0E-A509-4F8F-B25D-4D39804EA3F6}"/>
    <cellStyle name="Note 3 5 2" xfId="1021" xr:uid="{00000000-0005-0000-0000-0000EC210000}"/>
    <cellStyle name="Note 3 5 2 2" xfId="3253" xr:uid="{00000000-0005-0000-0000-0000ED210000}"/>
    <cellStyle name="Note 3 5 2 2 2" xfId="7475" xr:uid="{00000000-0005-0000-0000-0000EE210000}"/>
    <cellStyle name="Note 3 5 2 2 2 2" xfId="15925" xr:uid="{A23816E2-D842-47D8-802B-067514F58B52}"/>
    <cellStyle name="Note 3 5 2 2 2 3" xfId="24372" xr:uid="{29AE36AB-A8BD-481C-B0F8-C1EE32AF9049}"/>
    <cellStyle name="Note 3 5 2 2 3" xfId="11707" xr:uid="{8FE0C2C0-643F-4559-8E36-728A74A5B4DD}"/>
    <cellStyle name="Note 3 5 2 2 4" xfId="20155" xr:uid="{0A601BF0-1AF2-4289-9294-3BF9A7CB337C}"/>
    <cellStyle name="Note 3 5 2 3" xfId="5330" xr:uid="{00000000-0005-0000-0000-0000EF210000}"/>
    <cellStyle name="Note 3 5 2 3 2" xfId="13780" xr:uid="{0207B0DB-B780-444E-A33B-5B54596DFB42}"/>
    <cellStyle name="Note 3 5 2 3 3" xfId="22227" xr:uid="{BE54BB4C-41D7-4E71-AE44-E5643D87D947}"/>
    <cellStyle name="Note 3 5 2 4" xfId="9562" xr:uid="{28CC5731-E5E0-46C3-B9FC-9C90447E28E7}"/>
    <cellStyle name="Note 3 5 2 5" xfId="18010" xr:uid="{B11AAB12-8380-4A5E-960F-535AB9C8794A}"/>
    <cellStyle name="Note 3 5 3" xfId="1436" xr:uid="{00000000-0005-0000-0000-0000F0210000}"/>
    <cellStyle name="Note 3 5 3 2" xfId="3666" xr:uid="{00000000-0005-0000-0000-0000F1210000}"/>
    <cellStyle name="Note 3 5 3 2 2" xfId="7888" xr:uid="{00000000-0005-0000-0000-0000F2210000}"/>
    <cellStyle name="Note 3 5 3 2 2 2" xfId="16338" xr:uid="{53412616-6810-42B4-BEEC-492FE146C1EA}"/>
    <cellStyle name="Note 3 5 3 2 2 3" xfId="24785" xr:uid="{8F851D2C-031A-4ED3-8EFE-C5DFB89BB16E}"/>
    <cellStyle name="Note 3 5 3 2 3" xfId="12120" xr:uid="{2A6DAA54-BA9B-41D7-B51F-796484AE9E68}"/>
    <cellStyle name="Note 3 5 3 2 4" xfId="20568" xr:uid="{25613BE2-A10E-43BC-8A45-F10286B925A6}"/>
    <cellStyle name="Note 3 5 3 3" xfId="5743" xr:uid="{00000000-0005-0000-0000-0000F3210000}"/>
    <cellStyle name="Note 3 5 3 3 2" xfId="14193" xr:uid="{97946DA6-7B4D-433B-9998-CDAB2FA5EEC0}"/>
    <cellStyle name="Note 3 5 3 3 3" xfId="22640" xr:uid="{69CDDD2B-1BEE-424F-B305-ABE7D063C1A4}"/>
    <cellStyle name="Note 3 5 3 4" xfId="9975" xr:uid="{AC711AA5-AAEE-4D8F-870D-AC42126D3402}"/>
    <cellStyle name="Note 3 5 3 5" xfId="18423" xr:uid="{3C7FD506-D985-4871-81C9-B3D8F1C8038C}"/>
    <cellStyle name="Note 3 5 4" xfId="1850" xr:uid="{00000000-0005-0000-0000-0000F4210000}"/>
    <cellStyle name="Note 3 5 4 2" xfId="4079" xr:uid="{00000000-0005-0000-0000-0000F5210000}"/>
    <cellStyle name="Note 3 5 4 2 2" xfId="8301" xr:uid="{00000000-0005-0000-0000-0000F6210000}"/>
    <cellStyle name="Note 3 5 4 2 2 2" xfId="16751" xr:uid="{30A48FE8-1CD8-4FC1-B903-84DA546BAD46}"/>
    <cellStyle name="Note 3 5 4 2 2 3" xfId="25198" xr:uid="{C60D4A42-461C-473D-9EE3-D9472E77C3D7}"/>
    <cellStyle name="Note 3 5 4 2 3" xfId="12533" xr:uid="{4C9C0521-6A81-49EB-9ECA-87FED03E2386}"/>
    <cellStyle name="Note 3 5 4 2 4" xfId="20981" xr:uid="{5C410B06-99CB-4E75-865B-8B7AC13EBBDD}"/>
    <cellStyle name="Note 3 5 4 3" xfId="6156" xr:uid="{00000000-0005-0000-0000-0000F7210000}"/>
    <cellStyle name="Note 3 5 4 3 2" xfId="14606" xr:uid="{3BEFAAB9-6C58-4769-B412-1854FE101948}"/>
    <cellStyle name="Note 3 5 4 3 3" xfId="23053" xr:uid="{DAF71F61-7212-4B7B-A709-4ACDB70F3C82}"/>
    <cellStyle name="Note 3 5 4 4" xfId="10388" xr:uid="{6CF689A2-C493-4BED-9BED-CE09D7F8A45A}"/>
    <cellStyle name="Note 3 5 4 5" xfId="18836" xr:uid="{C2C076D9-4712-40E4-896C-C251A7E71F47}"/>
    <cellStyle name="Note 3 5 5" xfId="2263" xr:uid="{00000000-0005-0000-0000-0000F8210000}"/>
    <cellStyle name="Note 3 5 5 2" xfId="4492" xr:uid="{00000000-0005-0000-0000-0000F9210000}"/>
    <cellStyle name="Note 3 5 5 2 2" xfId="8714" xr:uid="{00000000-0005-0000-0000-0000FA210000}"/>
    <cellStyle name="Note 3 5 5 2 2 2" xfId="17164" xr:uid="{90119589-1892-421B-92F9-63C229D2829B}"/>
    <cellStyle name="Note 3 5 5 2 2 3" xfId="25611" xr:uid="{CDC8886D-C845-4550-8943-346C6891D870}"/>
    <cellStyle name="Note 3 5 5 2 3" xfId="12946" xr:uid="{78F6D7BD-B417-496B-BC46-4A722ACE7D48}"/>
    <cellStyle name="Note 3 5 5 2 4" xfId="21394" xr:uid="{C4812172-7814-4919-989E-23B11C0233BB}"/>
    <cellStyle name="Note 3 5 5 3" xfId="6569" xr:uid="{00000000-0005-0000-0000-0000FB210000}"/>
    <cellStyle name="Note 3 5 5 3 2" xfId="15019" xr:uid="{FB09A111-3DD1-47EA-9B59-B0919FA0CDC6}"/>
    <cellStyle name="Note 3 5 5 3 3" xfId="23466" xr:uid="{B7C1C2C8-55CC-4E11-85C0-3841320BE428}"/>
    <cellStyle name="Note 3 5 5 4" xfId="10801" xr:uid="{6A05177B-4224-4F7C-89F9-5AD3BCA7BDB7}"/>
    <cellStyle name="Note 3 5 5 5" xfId="19249" xr:uid="{222C3431-04B6-4BB8-962E-0E4C6842A8D3}"/>
    <cellStyle name="Note 3 5 6" xfId="2699" xr:uid="{00000000-0005-0000-0000-0000FC210000}"/>
    <cellStyle name="Note 3 5 6 2" xfId="6982" xr:uid="{00000000-0005-0000-0000-0000FD210000}"/>
    <cellStyle name="Note 3 5 6 2 2" xfId="15432" xr:uid="{CD108BB6-A83B-4856-8B23-DA8698921725}"/>
    <cellStyle name="Note 3 5 6 2 3" xfId="23879" xr:uid="{E7202AA2-4C9A-4B25-8B33-25536E15F2F5}"/>
    <cellStyle name="Note 3 5 6 3" xfId="11214" xr:uid="{0D981476-CD5D-4F40-93D2-C0669E67FF5D}"/>
    <cellStyle name="Note 3 5 6 4" xfId="19662" xr:uid="{60DFF48B-5283-4B79-9350-24E769FE31EE}"/>
    <cellStyle name="Note 3 5 7" xfId="2758" xr:uid="{00000000-0005-0000-0000-0000FE210000}"/>
    <cellStyle name="Note 3 5 8" xfId="2839" xr:uid="{00000000-0005-0000-0000-0000FF210000}"/>
    <cellStyle name="Note 3 5 8 2" xfId="7062" xr:uid="{00000000-0005-0000-0000-000000220000}"/>
    <cellStyle name="Note 3 5 8 2 2" xfId="15512" xr:uid="{E6861B0A-AB1B-438C-9791-D38D8CC20C06}"/>
    <cellStyle name="Note 3 5 8 2 3" xfId="23959" xr:uid="{B9E27000-D87D-4012-A055-C03A19FAE92A}"/>
    <cellStyle name="Note 3 5 8 3" xfId="11294" xr:uid="{3B900828-6930-460A-A1B6-3219FCC6B0C8}"/>
    <cellStyle name="Note 3 5 8 4" xfId="19742" xr:uid="{E4020188-96D5-4C3C-94FF-6922CA76C8DE}"/>
    <cellStyle name="Note 3 5 9" xfId="4917" xr:uid="{00000000-0005-0000-0000-000001220000}"/>
    <cellStyle name="Note 3 5 9 2" xfId="13367" xr:uid="{28E64573-9E5E-4735-86DF-22468EAE2016}"/>
    <cellStyle name="Note 3 5 9 3" xfId="21814" xr:uid="{B02D2F08-A94D-4DB5-9FA4-D9996131074A}"/>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50" xr:uid="{90B5B727-E925-476D-A2A8-AF75E3966FFA}"/>
    <cellStyle name="Percent 3 3" xfId="21397" xr:uid="{4BB59EF4-1B18-416F-B5CA-17AF12EB07BE}"/>
    <cellStyle name="Percent 4" xfId="4502" xr:uid="{00000000-0005-0000-0000-000007220000}"/>
    <cellStyle name="Percent 4 2" xfId="8717" xr:uid="{00000000-0005-0000-0000-000008220000}"/>
    <cellStyle name="Percent 4 2 2" xfId="17167" xr:uid="{A3F93234-ED53-498E-85FC-0B355EF6B68F}"/>
    <cellStyle name="Percent 4 2 3" xfId="25614" xr:uid="{5737F413-63D7-459F-88A8-E3186397DEDE}"/>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Percent 4 3 2 2 2 2 2" xfId="17183" xr:uid="{82074654-A14F-4FAD-B565-81703D045A01}"/>
    <cellStyle name="Percent 4 3 2 2 2 2 3" xfId="25630" xr:uid="{76F5A62C-F2C6-4BE2-BA80-9F9EA8035A7A}"/>
    <cellStyle name="Percent 4 3 2 2 2 3" xfId="17180" xr:uid="{A7ACAEA2-3685-494F-AF97-3E8857B0904B}"/>
    <cellStyle name="Percent 4 3 2 2 2 4" xfId="25627" xr:uid="{55304B6C-FC6B-409F-B821-D50A3E9077CE}"/>
    <cellStyle name="Percent 4 3 2 2 3" xfId="17176" xr:uid="{A4C1B01F-9DC9-400A-B313-2A8B980C660A}"/>
    <cellStyle name="Percent 4 3 2 2 4" xfId="25623" xr:uid="{8C72A11C-0DC4-498D-9ED8-B94D41D1C12E}"/>
    <cellStyle name="Percent 4 3 2 3" xfId="17173" xr:uid="{5509E890-442A-4900-AF28-4593E8AE44D5}"/>
    <cellStyle name="Percent 4 3 2 4" xfId="25620" xr:uid="{4F6E3059-80A6-469E-89B5-DA377FA5DC09}"/>
    <cellStyle name="Percent 4 3 3" xfId="17170" xr:uid="{4A81E465-84D1-48DD-A116-A5EC4EDDDAF6}"/>
    <cellStyle name="Percent 4 3 4" xfId="25617" xr:uid="{CF359E74-1966-4F5D-80DC-ED2C18EE7E56}"/>
    <cellStyle name="Percent 4 4" xfId="12953" xr:uid="{1AF1CA43-75BF-4FA7-8201-BECF8E076ED3}"/>
    <cellStyle name="Percent 4 5" xfId="21400" xr:uid="{382D3989-75F2-4BFC-A8D6-7996505A8DD7}"/>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84137</xdr:colOff>
      <xdr:row>7</xdr:row>
      <xdr:rowOff>7716</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18"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59" t="s">
        <v>550</v>
      </c>
      <c r="B1" s="1259"/>
      <c r="C1" s="1259"/>
      <c r="D1" s="1259"/>
      <c r="E1" s="1259"/>
      <c r="F1" s="1259"/>
      <c r="G1" s="1259"/>
      <c r="H1" s="1259"/>
      <c r="I1" s="1259"/>
      <c r="J1" s="1259"/>
      <c r="K1" s="1259"/>
      <c r="L1" s="1259"/>
      <c r="M1" s="1259"/>
      <c r="N1" s="1259"/>
      <c r="O1" s="1259"/>
      <c r="P1" s="1259"/>
      <c r="Q1" s="1259"/>
      <c r="R1" s="1259"/>
      <c r="S1" s="1259"/>
      <c r="T1" s="1259"/>
      <c r="U1" s="1259"/>
      <c r="V1" s="1259"/>
      <c r="W1" s="1259"/>
      <c r="X1" s="1259"/>
      <c r="Y1" s="1259"/>
      <c r="Z1" s="1259"/>
      <c r="AA1" s="1259"/>
      <c r="AB1" s="1259"/>
      <c r="AC1" s="1259"/>
      <c r="AD1" s="1259"/>
      <c r="AE1" s="1259"/>
      <c r="AF1" s="1259"/>
      <c r="AG1" s="1259"/>
      <c r="AH1" s="1259"/>
      <c r="AI1" s="1259"/>
      <c r="AJ1" s="1259"/>
      <c r="AK1" s="1259"/>
      <c r="AL1" s="1259"/>
    </row>
    <row r="2" spans="1:38" ht="13.5" thickBot="1">
      <c r="A2" s="1260"/>
      <c r="B2" s="1260"/>
      <c r="C2" s="1260"/>
      <c r="D2" s="1260"/>
      <c r="E2" s="1260"/>
      <c r="F2" s="1260"/>
      <c r="G2" s="1260"/>
      <c r="H2" s="1260"/>
      <c r="I2" s="1260"/>
      <c r="J2" s="1260"/>
      <c r="K2" s="1260"/>
      <c r="L2" s="1260"/>
      <c r="M2" s="1260"/>
      <c r="N2" s="1260"/>
      <c r="O2" s="1260"/>
      <c r="P2" s="1260"/>
      <c r="Q2" s="1260"/>
      <c r="R2" s="1260"/>
      <c r="S2" s="1260"/>
      <c r="T2" s="1260"/>
      <c r="U2" s="1260"/>
      <c r="V2" s="1260"/>
      <c r="W2" s="1260"/>
      <c r="X2" s="1260"/>
      <c r="Y2" s="1260"/>
      <c r="Z2" s="1260"/>
      <c r="AA2" s="1260"/>
      <c r="AB2" s="1260"/>
      <c r="AC2" s="1260"/>
      <c r="AD2" s="1260"/>
      <c r="AE2" s="1260"/>
      <c r="AF2" s="1260"/>
      <c r="AG2" s="1260"/>
      <c r="AH2" s="1260"/>
      <c r="AI2" s="1260"/>
      <c r="AJ2" s="1260"/>
      <c r="AK2" s="1260"/>
      <c r="AL2" s="1260"/>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1" t="s">
        <v>2034</v>
      </c>
      <c r="E7" s="1261"/>
      <c r="F7" s="1261"/>
      <c r="G7" s="1261"/>
      <c r="H7" s="1261"/>
      <c r="I7" s="1261"/>
      <c r="J7" s="1261"/>
      <c r="K7" s="1261"/>
      <c r="L7" s="1261"/>
      <c r="M7" s="1261"/>
      <c r="N7" s="1261"/>
      <c r="O7" s="1261"/>
      <c r="P7" s="1261"/>
      <c r="Q7" s="1261"/>
      <c r="R7" s="1261"/>
      <c r="S7" s="1261"/>
      <c r="T7" s="1261"/>
      <c r="U7" s="1261"/>
      <c r="V7" s="1261"/>
      <c r="W7" s="1261"/>
      <c r="X7" s="1261"/>
      <c r="Y7" s="1261"/>
      <c r="Z7" s="1261"/>
      <c r="AA7" s="1261"/>
      <c r="AB7" s="1261"/>
      <c r="AC7" s="1261"/>
      <c r="AD7" s="1261"/>
      <c r="AE7" s="1261"/>
      <c r="AF7" s="1261"/>
      <c r="AG7" s="1261"/>
      <c r="AH7" s="1261"/>
      <c r="AI7" s="1261"/>
      <c r="AJ7" s="1261"/>
      <c r="AK7" s="1261"/>
      <c r="AL7" s="455"/>
    </row>
    <row r="8" spans="1:38">
      <c r="A8" s="204"/>
      <c r="B8" s="204"/>
      <c r="C8" s="205"/>
      <c r="D8" s="1261"/>
      <c r="E8" s="1261"/>
      <c r="F8" s="1261"/>
      <c r="G8" s="1261"/>
      <c r="H8" s="1261"/>
      <c r="I8" s="1261"/>
      <c r="J8" s="1261"/>
      <c r="K8" s="1261"/>
      <c r="L8" s="1261"/>
      <c r="M8" s="1261"/>
      <c r="N8" s="1261"/>
      <c r="O8" s="1261"/>
      <c r="P8" s="1261"/>
      <c r="Q8" s="1261"/>
      <c r="R8" s="1261"/>
      <c r="S8" s="1261"/>
      <c r="T8" s="1261"/>
      <c r="U8" s="1261"/>
      <c r="V8" s="1261"/>
      <c r="W8" s="1261"/>
      <c r="X8" s="1261"/>
      <c r="Y8" s="1261"/>
      <c r="Z8" s="1261"/>
      <c r="AA8" s="1261"/>
      <c r="AB8" s="1261"/>
      <c r="AC8" s="1261"/>
      <c r="AD8" s="1261"/>
      <c r="AE8" s="1261"/>
      <c r="AF8" s="1261"/>
      <c r="AG8" s="1261"/>
      <c r="AH8" s="1261"/>
      <c r="AI8" s="1261"/>
      <c r="AJ8" s="1261"/>
      <c r="AK8" s="1261"/>
      <c r="AL8" s="455"/>
    </row>
    <row r="9" spans="1:38">
      <c r="A9" s="204"/>
      <c r="B9" s="204"/>
      <c r="C9" s="205"/>
      <c r="D9" s="1261"/>
      <c r="E9" s="1261"/>
      <c r="F9" s="1261"/>
      <c r="G9" s="1261"/>
      <c r="H9" s="1261"/>
      <c r="I9" s="1261"/>
      <c r="J9" s="1261"/>
      <c r="K9" s="1261"/>
      <c r="L9" s="1261"/>
      <c r="M9" s="1261"/>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1" t="s">
        <v>2035</v>
      </c>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455"/>
    </row>
    <row r="12" spans="1:38">
      <c r="A12" s="204"/>
      <c r="B12" s="204"/>
      <c r="C12" s="205"/>
      <c r="D12" s="1261"/>
      <c r="E12" s="1261"/>
      <c r="F12" s="1261"/>
      <c r="G12" s="1261"/>
      <c r="H12" s="1261"/>
      <c r="I12" s="1261"/>
      <c r="J12" s="1261"/>
      <c r="K12" s="1261"/>
      <c r="L12" s="1261"/>
      <c r="M12" s="1261"/>
      <c r="N12" s="1261"/>
      <c r="O12" s="1261"/>
      <c r="P12" s="1261"/>
      <c r="Q12" s="1261"/>
      <c r="R12" s="1261"/>
      <c r="S12" s="1261"/>
      <c r="T12" s="1261"/>
      <c r="U12" s="1261"/>
      <c r="V12" s="1261"/>
      <c r="W12" s="1261"/>
      <c r="X12" s="1261"/>
      <c r="Y12" s="1261"/>
      <c r="Z12" s="1261"/>
      <c r="AA12" s="1261"/>
      <c r="AB12" s="1261"/>
      <c r="AC12" s="1261"/>
      <c r="AD12" s="1261"/>
      <c r="AE12" s="1261"/>
      <c r="AF12" s="1261"/>
      <c r="AG12" s="1261"/>
      <c r="AH12" s="1261"/>
      <c r="AI12" s="1261"/>
      <c r="AJ12" s="1261"/>
      <c r="AK12" s="1261"/>
      <c r="AL12" s="455"/>
    </row>
    <row r="13" spans="1:38">
      <c r="A13" s="204"/>
      <c r="B13" s="204"/>
      <c r="C13" s="205"/>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1" t="s">
        <v>2604</v>
      </c>
      <c r="E15" s="1261"/>
      <c r="F15" s="1261"/>
      <c r="G15" s="1261"/>
      <c r="H15" s="1261"/>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c r="AK15" s="1261"/>
      <c r="AL15" s="455"/>
    </row>
    <row r="16" spans="1:38" ht="13.15" customHeight="1">
      <c r="A16" s="204"/>
      <c r="B16" s="204"/>
      <c r="C16" s="205"/>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455"/>
    </row>
    <row r="17" spans="1:38">
      <c r="A17" s="204"/>
      <c r="B17" s="204"/>
      <c r="C17" s="205"/>
      <c r="D17" s="1261"/>
      <c r="E17" s="1261"/>
      <c r="F17" s="1261"/>
      <c r="G17" s="1261"/>
      <c r="H17" s="1261"/>
      <c r="I17" s="1261"/>
      <c r="J17" s="1261"/>
      <c r="K17" s="1261"/>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455"/>
    </row>
    <row r="18" spans="1:38">
      <c r="A18" s="204"/>
      <c r="B18" s="204"/>
      <c r="C18" s="205"/>
      <c r="D18" s="519" t="s">
        <v>2603</v>
      </c>
      <c r="E18" s="441"/>
      <c r="G18" s="441"/>
      <c r="H18" s="441"/>
      <c r="I18" s="441"/>
      <c r="J18" s="1263" t="s">
        <v>2602</v>
      </c>
      <c r="K18" s="1263"/>
      <c r="L18" s="1263"/>
      <c r="M18" s="1263"/>
      <c r="N18" s="1263"/>
      <c r="O18" s="1263"/>
      <c r="P18" s="1263"/>
      <c r="Q18" s="1263"/>
      <c r="R18" s="1263"/>
      <c r="S18" s="1263"/>
      <c r="T18" s="1263"/>
      <c r="U18" s="1263"/>
      <c r="V18" s="1263"/>
      <c r="W18" s="1263"/>
      <c r="X18" s="1263"/>
      <c r="Y18" s="1263"/>
      <c r="Z18" s="1263"/>
      <c r="AA18" s="1263"/>
      <c r="AB18" s="1263"/>
      <c r="AC18" s="1263"/>
      <c r="AD18" s="1263"/>
      <c r="AE18" s="1263"/>
      <c r="AF18" s="1263"/>
      <c r="AG18" s="1263"/>
      <c r="AH18" s="1263"/>
      <c r="AI18" s="1263"/>
      <c r="AJ18" s="1263"/>
      <c r="AK18" s="1263"/>
      <c r="AL18" s="455"/>
    </row>
    <row r="19" spans="1:38">
      <c r="A19" s="204"/>
      <c r="B19" s="204"/>
      <c r="C19" s="205"/>
      <c r="D19" s="441"/>
      <c r="E19" s="441"/>
      <c r="F19" s="1253"/>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1" t="s">
        <v>2036</v>
      </c>
      <c r="E20" s="1261"/>
      <c r="F20" s="1261"/>
      <c r="G20" s="1261"/>
      <c r="H20" s="1261"/>
      <c r="I20" s="1261"/>
      <c r="J20" s="1261"/>
      <c r="K20" s="1261"/>
      <c r="L20" s="1261"/>
      <c r="M20" s="1261"/>
      <c r="N20" s="1261"/>
      <c r="O20" s="1261"/>
      <c r="P20" s="1261"/>
      <c r="Q20" s="1261"/>
      <c r="R20" s="1261"/>
      <c r="S20" s="1261"/>
      <c r="T20" s="1261"/>
      <c r="U20" s="1261"/>
      <c r="V20" s="1261"/>
      <c r="W20" s="1261"/>
      <c r="X20" s="1261"/>
      <c r="Y20" s="1261"/>
      <c r="Z20" s="1261"/>
      <c r="AA20" s="1261"/>
      <c r="AB20" s="1261"/>
      <c r="AC20" s="1261"/>
      <c r="AD20" s="1261"/>
      <c r="AE20" s="1261"/>
      <c r="AF20" s="1261"/>
      <c r="AG20" s="1261"/>
      <c r="AH20" s="1261"/>
      <c r="AI20" s="1261"/>
      <c r="AJ20" s="1261"/>
      <c r="AK20" s="1261"/>
      <c r="AL20" s="204"/>
    </row>
    <row r="21" spans="1:38">
      <c r="A21" s="204"/>
      <c r="B21" s="204"/>
      <c r="C21" s="205"/>
      <c r="D21" s="1261"/>
      <c r="E21" s="1261"/>
      <c r="F21" s="1261"/>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1"/>
      <c r="AL21" s="204"/>
    </row>
    <row r="22" spans="1:38">
      <c r="A22" s="204"/>
      <c r="B22" s="204"/>
      <c r="C22" s="205"/>
      <c r="D22" s="1261"/>
      <c r="E22" s="1261"/>
      <c r="F22" s="1261"/>
      <c r="G22" s="1261"/>
      <c r="H22" s="1261"/>
      <c r="I22" s="1261"/>
      <c r="J22" s="1261"/>
      <c r="K22" s="1261"/>
      <c r="L22" s="1261"/>
      <c r="M22" s="1261"/>
      <c r="N22" s="1261"/>
      <c r="O22" s="1261"/>
      <c r="P22" s="1261"/>
      <c r="Q22" s="1261"/>
      <c r="R22" s="1261"/>
      <c r="S22" s="1261"/>
      <c r="T22" s="1261"/>
      <c r="U22" s="1261"/>
      <c r="V22" s="1261"/>
      <c r="W22" s="1261"/>
      <c r="X22" s="1261"/>
      <c r="Y22" s="1261"/>
      <c r="Z22" s="1261"/>
      <c r="AA22" s="1261"/>
      <c r="AB22" s="1261"/>
      <c r="AC22" s="1261"/>
      <c r="AD22" s="1261"/>
      <c r="AE22" s="1261"/>
      <c r="AF22" s="1261"/>
      <c r="AG22" s="1261"/>
      <c r="AH22" s="1261"/>
      <c r="AI22" s="1261"/>
      <c r="AJ22" s="1261"/>
      <c r="AK22" s="1261"/>
      <c r="AL22" s="204"/>
    </row>
    <row r="23" spans="1:38" ht="13.15" customHeight="1">
      <c r="A23" s="204"/>
      <c r="B23" s="204"/>
      <c r="C23" s="205"/>
      <c r="D23" s="1261"/>
      <c r="E23" s="1261"/>
      <c r="F23" s="1261"/>
      <c r="G23" s="1261"/>
      <c r="H23" s="1261"/>
      <c r="I23" s="1261"/>
      <c r="J23" s="1261"/>
      <c r="K23" s="1261"/>
      <c r="L23" s="1261"/>
      <c r="M23" s="1261"/>
      <c r="N23" s="1261"/>
      <c r="O23" s="1261"/>
      <c r="P23" s="1261"/>
      <c r="Q23" s="1261"/>
      <c r="R23" s="1261"/>
      <c r="S23" s="1261"/>
      <c r="T23" s="1261"/>
      <c r="U23" s="1261"/>
      <c r="V23" s="1261"/>
      <c r="W23" s="1261"/>
      <c r="X23" s="1261"/>
      <c r="Y23" s="1261"/>
      <c r="Z23" s="1261"/>
      <c r="AA23" s="1261"/>
      <c r="AB23" s="1261"/>
      <c r="AC23" s="1261"/>
      <c r="AD23" s="1261"/>
      <c r="AE23" s="1261"/>
      <c r="AF23" s="1261"/>
      <c r="AG23" s="1261"/>
      <c r="AH23" s="1261"/>
      <c r="AI23" s="1261"/>
      <c r="AJ23" s="1261"/>
      <c r="AK23" s="1261"/>
      <c r="AL23" s="204"/>
    </row>
    <row r="24" spans="1:38">
      <c r="A24" s="204"/>
      <c r="B24" s="204"/>
      <c r="C24" s="205"/>
      <c r="D24" s="1261"/>
      <c r="E24" s="1261"/>
      <c r="F24" s="1261"/>
      <c r="G24" s="1261"/>
      <c r="H24" s="1261"/>
      <c r="I24" s="1261"/>
      <c r="J24" s="1261"/>
      <c r="K24" s="1261"/>
      <c r="L24" s="1261"/>
      <c r="M24" s="1261"/>
      <c r="N24" s="1261"/>
      <c r="O24" s="1261"/>
      <c r="P24" s="1261"/>
      <c r="Q24" s="1261"/>
      <c r="R24" s="1261"/>
      <c r="S24" s="1261"/>
      <c r="T24" s="1261"/>
      <c r="U24" s="1261"/>
      <c r="V24" s="1261"/>
      <c r="W24" s="1261"/>
      <c r="X24" s="1261"/>
      <c r="Y24" s="1261"/>
      <c r="Z24" s="1261"/>
      <c r="AA24" s="1261"/>
      <c r="AB24" s="1261"/>
      <c r="AC24" s="1261"/>
      <c r="AD24" s="1261"/>
      <c r="AE24" s="1261"/>
      <c r="AF24" s="1261"/>
      <c r="AG24" s="1261"/>
      <c r="AH24" s="1261"/>
      <c r="AI24" s="1261"/>
      <c r="AJ24" s="1261"/>
      <c r="AK24" s="1261"/>
      <c r="AL24" s="204"/>
    </row>
    <row r="25" spans="1:38">
      <c r="A25" s="204"/>
      <c r="B25" s="204"/>
      <c r="C25" s="205"/>
      <c r="D25" s="1261"/>
      <c r="E25" s="1261"/>
      <c r="F25" s="1261"/>
      <c r="G25" s="1261"/>
      <c r="H25" s="1261"/>
      <c r="I25" s="1261"/>
      <c r="J25" s="1261"/>
      <c r="K25" s="1261"/>
      <c r="L25" s="1261"/>
      <c r="M25" s="1261"/>
      <c r="N25" s="1261"/>
      <c r="O25" s="1261"/>
      <c r="P25" s="1261"/>
      <c r="Q25" s="1261"/>
      <c r="R25" s="1261"/>
      <c r="S25" s="1261"/>
      <c r="T25" s="1261"/>
      <c r="U25" s="1261"/>
      <c r="V25" s="1261"/>
      <c r="W25" s="1261"/>
      <c r="X25" s="1261"/>
      <c r="Y25" s="1261"/>
      <c r="Z25" s="1261"/>
      <c r="AA25" s="1261"/>
      <c r="AB25" s="1261"/>
      <c r="AC25" s="1261"/>
      <c r="AD25" s="1261"/>
      <c r="AE25" s="1261"/>
      <c r="AF25" s="1261"/>
      <c r="AG25" s="1261"/>
      <c r="AH25" s="1261"/>
      <c r="AI25" s="1261"/>
      <c r="AJ25" s="1261"/>
      <c r="AK25" s="1261"/>
      <c r="AL25" s="204"/>
    </row>
    <row r="26" spans="1:38">
      <c r="A26" s="204"/>
      <c r="B26" s="204"/>
      <c r="C26" s="205"/>
      <c r="D26" s="1261"/>
      <c r="E26" s="1261"/>
      <c r="F26" s="1261"/>
      <c r="G26" s="1261"/>
      <c r="H26" s="1261"/>
      <c r="I26" s="1261"/>
      <c r="J26" s="1261"/>
      <c r="K26" s="1261"/>
      <c r="L26" s="1261"/>
      <c r="M26" s="1261"/>
      <c r="N26" s="1261"/>
      <c r="O26" s="1261"/>
      <c r="P26" s="1261"/>
      <c r="Q26" s="1261"/>
      <c r="R26" s="1261"/>
      <c r="S26" s="1261"/>
      <c r="T26" s="1261"/>
      <c r="U26" s="1261"/>
      <c r="V26" s="1261"/>
      <c r="W26" s="1261"/>
      <c r="X26" s="1261"/>
      <c r="Y26" s="1261"/>
      <c r="Z26" s="1261"/>
      <c r="AA26" s="1261"/>
      <c r="AB26" s="1261"/>
      <c r="AC26" s="1261"/>
      <c r="AD26" s="1261"/>
      <c r="AE26" s="1261"/>
      <c r="AF26" s="1261"/>
      <c r="AG26" s="1261"/>
      <c r="AH26" s="1261"/>
      <c r="AI26" s="1261"/>
      <c r="AJ26" s="1261"/>
      <c r="AK26" s="1261"/>
      <c r="AL26" s="204"/>
    </row>
    <row r="27" spans="1:38">
      <c r="A27" s="204"/>
      <c r="B27" s="204"/>
      <c r="C27" s="205"/>
      <c r="D27" s="1261"/>
      <c r="E27" s="1261"/>
      <c r="F27" s="1261"/>
      <c r="G27" s="1261"/>
      <c r="H27" s="1261"/>
      <c r="I27" s="1261"/>
      <c r="J27" s="1261"/>
      <c r="K27" s="1261"/>
      <c r="L27" s="1261"/>
      <c r="M27" s="1261"/>
      <c r="N27" s="1261"/>
      <c r="O27" s="1261"/>
      <c r="P27" s="1261"/>
      <c r="Q27" s="1261"/>
      <c r="R27" s="1261"/>
      <c r="S27" s="1261"/>
      <c r="T27" s="1261"/>
      <c r="U27" s="1261"/>
      <c r="V27" s="1261"/>
      <c r="W27" s="1261"/>
      <c r="X27" s="1261"/>
      <c r="Y27" s="1261"/>
      <c r="Z27" s="1261"/>
      <c r="AA27" s="1261"/>
      <c r="AB27" s="1261"/>
      <c r="AC27" s="1261"/>
      <c r="AD27" s="1261"/>
      <c r="AE27" s="1261"/>
      <c r="AF27" s="1261"/>
      <c r="AG27" s="1261"/>
      <c r="AH27" s="1261"/>
      <c r="AI27" s="1261"/>
      <c r="AJ27" s="1261"/>
      <c r="AK27" s="1261"/>
      <c r="AL27" s="204"/>
    </row>
    <row r="28" spans="1:38">
      <c r="A28" s="204"/>
      <c r="B28" s="204"/>
      <c r="C28" s="205"/>
      <c r="D28" s="1261"/>
      <c r="E28" s="1261"/>
      <c r="F28" s="1261"/>
      <c r="G28" s="1261"/>
      <c r="H28" s="1261"/>
      <c r="I28" s="1261"/>
      <c r="J28" s="1261"/>
      <c r="K28" s="1261"/>
      <c r="L28" s="1261"/>
      <c r="M28" s="1261"/>
      <c r="N28" s="1261"/>
      <c r="O28" s="1261"/>
      <c r="P28" s="1261"/>
      <c r="Q28" s="1261"/>
      <c r="R28" s="1261"/>
      <c r="S28" s="1261"/>
      <c r="T28" s="1261"/>
      <c r="U28" s="1261"/>
      <c r="V28" s="1261"/>
      <c r="W28" s="1261"/>
      <c r="X28" s="1261"/>
      <c r="Y28" s="1261"/>
      <c r="Z28" s="1261"/>
      <c r="AA28" s="1261"/>
      <c r="AB28" s="1261"/>
      <c r="AC28" s="1261"/>
      <c r="AD28" s="1261"/>
      <c r="AE28" s="1261"/>
      <c r="AF28" s="1261"/>
      <c r="AG28" s="1261"/>
      <c r="AH28" s="1261"/>
      <c r="AI28" s="1261"/>
      <c r="AJ28" s="1261"/>
      <c r="AK28" s="1261"/>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1" t="s">
        <v>2037</v>
      </c>
      <c r="E30" s="1261"/>
      <c r="F30" s="1261"/>
      <c r="G30" s="1261"/>
      <c r="H30" s="1261"/>
      <c r="I30" s="1261"/>
      <c r="J30" s="1261"/>
      <c r="K30" s="1261"/>
      <c r="L30" s="1261"/>
      <c r="M30" s="1261"/>
      <c r="N30" s="1261"/>
      <c r="O30" s="1261"/>
      <c r="P30" s="1261"/>
      <c r="Q30" s="1261"/>
      <c r="R30" s="1261"/>
      <c r="S30" s="1261"/>
      <c r="T30" s="1261"/>
      <c r="U30" s="1261"/>
      <c r="V30" s="1261"/>
      <c r="W30" s="1261"/>
      <c r="X30" s="1261"/>
      <c r="Y30" s="1261"/>
      <c r="Z30" s="1261"/>
      <c r="AA30" s="1261"/>
      <c r="AB30" s="1261"/>
      <c r="AC30" s="1261"/>
      <c r="AD30" s="1261"/>
      <c r="AE30" s="1261"/>
      <c r="AF30" s="1261"/>
      <c r="AG30" s="1261"/>
      <c r="AH30" s="1261"/>
      <c r="AI30" s="1261"/>
      <c r="AJ30" s="1261"/>
      <c r="AK30" s="1261"/>
      <c r="AL30" s="204"/>
    </row>
    <row r="31" spans="1:38">
      <c r="A31" s="204"/>
      <c r="B31" s="204"/>
      <c r="C31" s="205"/>
      <c r="D31" s="455"/>
      <c r="E31" s="1269" t="s">
        <v>2518</v>
      </c>
      <c r="F31" s="1270"/>
      <c r="G31" s="1270"/>
      <c r="H31" s="1270"/>
      <c r="I31" s="1270"/>
      <c r="J31" s="1270"/>
      <c r="K31" s="1270"/>
      <c r="L31" s="1270"/>
      <c r="M31" s="1270"/>
      <c r="N31" s="1270"/>
      <c r="O31" s="1270"/>
      <c r="P31" s="1270"/>
      <c r="Q31" s="1270"/>
      <c r="R31" s="1270"/>
      <c r="S31" s="1270"/>
      <c r="T31" s="1270"/>
      <c r="U31" s="1270"/>
      <c r="V31" s="1270"/>
      <c r="W31" s="1270"/>
      <c r="X31" s="1270"/>
      <c r="Y31" s="1270"/>
      <c r="Z31" s="1270"/>
      <c r="AA31" s="1270"/>
      <c r="AB31" s="1270"/>
      <c r="AC31" s="1270"/>
      <c r="AD31" s="1270"/>
      <c r="AE31" s="1270"/>
      <c r="AF31" s="1270"/>
      <c r="AG31" s="1270"/>
      <c r="AH31" s="1270"/>
      <c r="AI31" s="1270"/>
      <c r="AJ31" s="1270"/>
      <c r="AK31" s="1270"/>
      <c r="AL31" s="204"/>
    </row>
    <row r="32" spans="1:38">
      <c r="A32" s="4"/>
      <c r="C32" s="2"/>
    </row>
    <row r="33" spans="1:38">
      <c r="A33" s="4"/>
      <c r="D33" s="1262" t="s">
        <v>2141</v>
      </c>
      <c r="E33" s="1262"/>
      <c r="F33" s="1262"/>
      <c r="G33" s="1262"/>
      <c r="H33" s="1262"/>
      <c r="I33" s="1262"/>
      <c r="J33" s="1262"/>
      <c r="K33" s="1262"/>
      <c r="L33" s="1262"/>
      <c r="M33" s="1262"/>
      <c r="N33" s="1262"/>
      <c r="O33" s="1262"/>
      <c r="P33" s="1262"/>
      <c r="Q33" s="1262"/>
      <c r="R33" s="1262"/>
      <c r="S33" s="1262"/>
      <c r="T33" s="1262"/>
      <c r="U33" s="1262"/>
      <c r="V33" s="1262"/>
      <c r="W33" s="1262"/>
      <c r="X33" s="1262"/>
      <c r="Y33" s="1262"/>
      <c r="Z33" s="1262"/>
      <c r="AA33" s="1262"/>
      <c r="AB33" s="1262"/>
      <c r="AC33" s="1262"/>
      <c r="AD33" s="1262"/>
      <c r="AE33" s="1262"/>
      <c r="AF33" s="1262"/>
      <c r="AG33" s="1262"/>
      <c r="AH33" s="1262"/>
      <c r="AI33" s="1262"/>
      <c r="AJ33" s="1262"/>
      <c r="AK33" s="1262"/>
    </row>
    <row r="34" spans="1:38">
      <c r="A34" s="4"/>
      <c r="D34" s="1262"/>
      <c r="E34" s="1262"/>
      <c r="F34" s="1262"/>
      <c r="G34" s="1262"/>
      <c r="H34" s="1262"/>
      <c r="I34" s="1262"/>
      <c r="J34" s="1262"/>
      <c r="K34" s="1262"/>
      <c r="L34" s="1262"/>
      <c r="M34" s="1262"/>
      <c r="N34" s="1262"/>
      <c r="O34" s="1262"/>
      <c r="P34" s="1262"/>
      <c r="Q34" s="1262"/>
      <c r="R34" s="1262"/>
      <c r="S34" s="1262"/>
      <c r="T34" s="1262"/>
      <c r="U34" s="1262"/>
      <c r="V34" s="1262"/>
      <c r="W34" s="1262"/>
      <c r="X34" s="1262"/>
      <c r="Y34" s="1262"/>
      <c r="Z34" s="1262"/>
      <c r="AA34" s="1262"/>
      <c r="AB34" s="1262"/>
      <c r="AC34" s="1262"/>
      <c r="AD34" s="1262"/>
      <c r="AE34" s="1262"/>
      <c r="AF34" s="1262"/>
      <c r="AG34" s="1262"/>
      <c r="AH34" s="1262"/>
      <c r="AI34" s="1262"/>
      <c r="AJ34" s="1262"/>
      <c r="AK34" s="1262"/>
    </row>
    <row r="35" spans="1:38">
      <c r="A35" s="4"/>
      <c r="D35" s="120"/>
      <c r="E35" s="1268" t="s">
        <v>2044</v>
      </c>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0"/>
      <c r="E36" s="1268" t="s">
        <v>2045</v>
      </c>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1" customFormat="1" ht="13.15" customHeight="1">
      <c r="A40" s="4"/>
      <c r="B40"/>
      <c r="C40" s="2"/>
      <c r="D40" s="4"/>
      <c r="E40" s="4" t="s">
        <v>653</v>
      </c>
      <c r="F40" s="1261" t="s">
        <v>1163</v>
      </c>
    </row>
    <row r="41" spans="1:38" s="1261" customFormat="1" ht="13.1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1245</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687</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1" t="s">
        <v>2039</v>
      </c>
      <c r="G48" s="1261"/>
      <c r="H48" s="1261"/>
      <c r="I48" s="1261"/>
      <c r="J48" s="1261"/>
      <c r="K48" s="1261"/>
      <c r="L48" s="1261"/>
      <c r="M48" s="1261"/>
      <c r="N48" s="1261"/>
      <c r="O48" s="1261"/>
      <c r="P48" s="1261"/>
      <c r="Q48" s="1261"/>
      <c r="R48" s="1261"/>
      <c r="S48" s="1261"/>
      <c r="T48" s="1261"/>
      <c r="U48" s="1261"/>
      <c r="V48" s="1261"/>
      <c r="W48" s="1261"/>
      <c r="X48" s="1261"/>
      <c r="Y48" s="1261"/>
      <c r="Z48" s="1261"/>
      <c r="AA48" s="1261"/>
      <c r="AB48" s="1261"/>
      <c r="AC48" s="1261"/>
      <c r="AD48" s="1261"/>
      <c r="AE48" s="1261"/>
      <c r="AF48" s="1261"/>
      <c r="AG48" s="1261"/>
      <c r="AH48" s="1261"/>
      <c r="AI48" s="1261"/>
      <c r="AJ48" s="1261"/>
      <c r="AK48" s="1261"/>
    </row>
    <row r="49" spans="1:38">
      <c r="A49" s="4"/>
      <c r="C49" s="2"/>
      <c r="D49" s="4"/>
      <c r="E49" s="4"/>
      <c r="F49" s="1261"/>
      <c r="G49" s="1261"/>
      <c r="H49" s="1261"/>
      <c r="I49" s="1261"/>
      <c r="J49" s="1261"/>
      <c r="K49" s="1261"/>
      <c r="L49" s="1261"/>
      <c r="M49" s="1261"/>
      <c r="N49" s="1261"/>
      <c r="O49" s="1261"/>
      <c r="P49" s="1261"/>
      <c r="Q49" s="1261"/>
      <c r="R49" s="1261"/>
      <c r="S49" s="1261"/>
      <c r="T49" s="1261"/>
      <c r="U49" s="1261"/>
      <c r="V49" s="1261"/>
      <c r="W49" s="1261"/>
      <c r="X49" s="1261"/>
      <c r="Y49" s="1261"/>
      <c r="Z49" s="1261"/>
      <c r="AA49" s="1261"/>
      <c r="AB49" s="1261"/>
      <c r="AC49" s="1261"/>
      <c r="AD49" s="1261"/>
      <c r="AE49" s="1261"/>
      <c r="AF49" s="1261"/>
      <c r="AG49" s="1261"/>
      <c r="AH49" s="1261"/>
      <c r="AI49" s="1261"/>
      <c r="AJ49" s="1261"/>
      <c r="AK49" s="1261"/>
    </row>
    <row r="50" spans="1:38">
      <c r="A50" s="4"/>
      <c r="C50" s="2"/>
      <c r="D50" s="4"/>
      <c r="F50" s="1261"/>
      <c r="G50" s="1261"/>
      <c r="H50" s="1261"/>
      <c r="I50" s="1261"/>
      <c r="J50" s="1261"/>
      <c r="K50" s="1261"/>
      <c r="L50" s="1261"/>
      <c r="M50" s="1261"/>
      <c r="N50" s="1261"/>
      <c r="O50" s="1261"/>
      <c r="P50" s="1261"/>
      <c r="Q50" s="1261"/>
      <c r="R50" s="1261"/>
      <c r="S50" s="1261"/>
      <c r="T50" s="1261"/>
      <c r="U50" s="1261"/>
      <c r="V50" s="1261"/>
      <c r="W50" s="1261"/>
      <c r="X50" s="1261"/>
      <c r="Y50" s="1261"/>
      <c r="Z50" s="1261"/>
      <c r="AA50" s="1261"/>
      <c r="AB50" s="1261"/>
      <c r="AC50" s="1261"/>
      <c r="AD50" s="1261"/>
      <c r="AE50" s="1261"/>
      <c r="AF50" s="1261"/>
      <c r="AG50" s="1261"/>
      <c r="AH50" s="1261"/>
      <c r="AI50" s="1261"/>
      <c r="AJ50" s="1261"/>
      <c r="AK50" s="1261"/>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4" t="s">
        <v>1190</v>
      </c>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4" t="s">
        <v>575</v>
      </c>
      <c r="H56" s="1264"/>
      <c r="I56" s="1264"/>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4" t="s">
        <v>2040</v>
      </c>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row>
    <row r="58" spans="1:38">
      <c r="A58" s="204"/>
      <c r="B58" s="204"/>
      <c r="C58" s="205"/>
      <c r="D58" s="205"/>
      <c r="E58" s="204"/>
      <c r="F58" s="206"/>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row>
    <row r="59" spans="1:38">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1" t="s">
        <v>1165</v>
      </c>
      <c r="H64" s="1261"/>
      <c r="I64" s="1261"/>
      <c r="J64" s="1261"/>
      <c r="K64" s="1261"/>
      <c r="L64" s="1261"/>
      <c r="M64" s="1261"/>
      <c r="N64" s="1261"/>
      <c r="O64" s="1261"/>
      <c r="P64" s="1261"/>
      <c r="Q64" s="1261"/>
      <c r="R64" s="1261"/>
      <c r="S64" s="1261"/>
      <c r="T64" s="1261"/>
      <c r="U64" s="1261"/>
      <c r="V64" s="1261"/>
      <c r="W64" s="1261"/>
      <c r="X64" s="1261"/>
      <c r="Y64" s="1261"/>
      <c r="Z64" s="1261"/>
      <c r="AA64" s="1261"/>
      <c r="AB64" s="1261"/>
      <c r="AC64" s="1261"/>
      <c r="AD64" s="1261"/>
      <c r="AE64" s="1261"/>
      <c r="AF64" s="1261"/>
      <c r="AG64" s="1261"/>
      <c r="AH64" s="1261"/>
      <c r="AI64" s="1261"/>
      <c r="AJ64" s="1261"/>
      <c r="AK64" s="1261"/>
    </row>
    <row r="65" spans="1:37">
      <c r="A65" s="4"/>
      <c r="C65" s="2"/>
      <c r="D65" s="4"/>
      <c r="E65" s="4"/>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261"/>
      <c r="AE65" s="1261"/>
      <c r="AF65" s="1261"/>
      <c r="AG65" s="1261"/>
      <c r="AH65" s="1261"/>
      <c r="AI65" s="1261"/>
      <c r="AJ65" s="1261"/>
      <c r="AK65" s="1261"/>
    </row>
    <row r="66" spans="1:37">
      <c r="A66" s="4"/>
      <c r="C66" s="2"/>
      <c r="D66" s="4"/>
      <c r="E66" s="4"/>
      <c r="G66" s="1261"/>
      <c r="H66" s="1261"/>
      <c r="I66" s="1261"/>
      <c r="J66" s="1261"/>
      <c r="K66" s="1261"/>
      <c r="L66" s="1261"/>
      <c r="M66" s="1261"/>
      <c r="N66" s="1261"/>
      <c r="O66" s="1261"/>
      <c r="P66" s="1261"/>
      <c r="Q66" s="1261"/>
      <c r="R66" s="1261"/>
      <c r="S66" s="1261"/>
      <c r="T66" s="1261"/>
      <c r="U66" s="1261"/>
      <c r="V66" s="1261"/>
      <c r="W66" s="1261"/>
      <c r="X66" s="1261"/>
      <c r="Y66" s="1261"/>
      <c r="Z66" s="1261"/>
      <c r="AA66" s="1261"/>
      <c r="AB66" s="1261"/>
      <c r="AC66" s="1261"/>
      <c r="AD66" s="1261"/>
      <c r="AE66" s="1261"/>
      <c r="AF66" s="1261"/>
      <c r="AG66" s="1261"/>
      <c r="AH66" s="1261"/>
      <c r="AI66" s="1261"/>
      <c r="AJ66" s="1261"/>
      <c r="AK66" s="1261"/>
    </row>
    <row r="67" spans="1:37" ht="13.15" customHeight="1">
      <c r="A67" s="4"/>
      <c r="C67" s="2"/>
      <c r="D67" s="4"/>
      <c r="E67" s="4"/>
      <c r="F67" t="s">
        <v>509</v>
      </c>
      <c r="G67" s="1261" t="s">
        <v>1166</v>
      </c>
      <c r="H67" s="1261"/>
      <c r="I67" s="1261"/>
      <c r="J67" s="1261"/>
      <c r="K67" s="1261"/>
      <c r="L67" s="1261"/>
      <c r="M67" s="1261"/>
      <c r="N67" s="1261"/>
      <c r="O67" s="1261"/>
      <c r="P67" s="1261"/>
      <c r="Q67" s="1261"/>
      <c r="R67" s="1261"/>
      <c r="S67" s="1261"/>
      <c r="T67" s="1261"/>
      <c r="U67" s="1261"/>
      <c r="V67" s="1261"/>
      <c r="W67" s="1261"/>
      <c r="X67" s="1261"/>
      <c r="Y67" s="1261"/>
      <c r="Z67" s="1261"/>
      <c r="AA67" s="1261"/>
      <c r="AB67" s="1261"/>
      <c r="AC67" s="1261"/>
      <c r="AD67" s="1261"/>
      <c r="AE67" s="1261"/>
      <c r="AF67" s="1261"/>
      <c r="AG67" s="1261"/>
      <c r="AH67" s="1261"/>
      <c r="AI67" s="1261"/>
      <c r="AJ67" s="1261"/>
      <c r="AK67" s="1261"/>
    </row>
    <row r="68" spans="1:37">
      <c r="A68" s="4"/>
      <c r="C68" s="2"/>
      <c r="D68" s="4"/>
      <c r="E68" s="4"/>
      <c r="F68" s="27"/>
      <c r="G68" s="1261"/>
      <c r="H68" s="1261"/>
      <c r="I68" s="1261"/>
      <c r="J68" s="1261"/>
      <c r="K68" s="1261"/>
      <c r="L68" s="1261"/>
      <c r="M68" s="1261"/>
      <c r="N68" s="1261"/>
      <c r="O68" s="1261"/>
      <c r="P68" s="1261"/>
      <c r="Q68" s="1261"/>
      <c r="R68" s="1261"/>
      <c r="S68" s="1261"/>
      <c r="T68" s="1261"/>
      <c r="U68" s="1261"/>
      <c r="V68" s="1261"/>
      <c r="W68" s="1261"/>
      <c r="X68" s="1261"/>
      <c r="Y68" s="1261"/>
      <c r="Z68" s="1261"/>
      <c r="AA68" s="1261"/>
      <c r="AB68" s="1261"/>
      <c r="AC68" s="1261"/>
      <c r="AD68" s="1261"/>
      <c r="AE68" s="1261"/>
      <c r="AF68" s="1261"/>
      <c r="AG68" s="1261"/>
      <c r="AH68" s="1261"/>
      <c r="AI68" s="1261"/>
      <c r="AJ68" s="1261"/>
      <c r="AK68" s="1261"/>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1" t="s">
        <v>1167</v>
      </c>
      <c r="H70" s="1261"/>
      <c r="I70" s="1261"/>
      <c r="J70" s="1261"/>
      <c r="K70" s="1261"/>
      <c r="L70" s="1261"/>
      <c r="M70" s="1261"/>
      <c r="N70" s="1261"/>
      <c r="O70" s="1261"/>
      <c r="P70" s="1261"/>
      <c r="Q70" s="1261"/>
      <c r="R70" s="1261"/>
      <c r="S70" s="1261"/>
      <c r="T70" s="1261"/>
      <c r="U70" s="1261"/>
      <c r="V70" s="1261"/>
      <c r="W70" s="1261"/>
      <c r="X70" s="1261"/>
      <c r="Y70" s="1261"/>
      <c r="Z70" s="1261"/>
      <c r="AA70" s="1261"/>
      <c r="AB70" s="1261"/>
      <c r="AC70" s="1261"/>
      <c r="AD70" s="1261"/>
      <c r="AE70" s="1261"/>
      <c r="AF70" s="1261"/>
      <c r="AG70" s="1261"/>
      <c r="AH70" s="1261"/>
      <c r="AI70" s="1261"/>
      <c r="AJ70" s="1261"/>
      <c r="AK70" s="1261"/>
    </row>
    <row r="71" spans="1:37">
      <c r="A71" s="4"/>
      <c r="C71" s="2"/>
      <c r="D71" s="4"/>
      <c r="E71" s="4"/>
      <c r="F71" s="8"/>
      <c r="G71" s="1261"/>
      <c r="H71" s="1261"/>
      <c r="I71" s="1261"/>
      <c r="J71" s="1261"/>
      <c r="K71" s="1261"/>
      <c r="L71" s="1261"/>
      <c r="M71" s="1261"/>
      <c r="N71" s="1261"/>
      <c r="O71" s="1261"/>
      <c r="P71" s="1261"/>
      <c r="Q71" s="1261"/>
      <c r="R71" s="1261"/>
      <c r="S71" s="1261"/>
      <c r="T71" s="1261"/>
      <c r="U71" s="1261"/>
      <c r="V71" s="1261"/>
      <c r="W71" s="1261"/>
      <c r="X71" s="1261"/>
      <c r="Y71" s="1261"/>
      <c r="Z71" s="1261"/>
      <c r="AA71" s="1261"/>
      <c r="AB71" s="1261"/>
      <c r="AC71" s="1261"/>
      <c r="AD71" s="1261"/>
      <c r="AE71" s="1261"/>
      <c r="AF71" s="1261"/>
      <c r="AG71" s="1261"/>
      <c r="AH71" s="1261"/>
      <c r="AI71" s="1261"/>
      <c r="AJ71" s="1261"/>
      <c r="AK71" s="1261"/>
    </row>
    <row r="72" spans="1:37">
      <c r="A72" s="4"/>
      <c r="C72" s="2"/>
      <c r="D72" s="4"/>
      <c r="E72" s="4"/>
      <c r="F72" s="8" t="s">
        <v>509</v>
      </c>
      <c r="G72" s="1261" t="s">
        <v>1168</v>
      </c>
      <c r="H72" s="1261"/>
      <c r="I72" s="1261"/>
      <c r="J72" s="1261"/>
      <c r="K72" s="1261"/>
      <c r="L72" s="1261"/>
      <c r="M72" s="1261"/>
      <c r="N72" s="1261"/>
      <c r="O72" s="1261"/>
      <c r="P72" s="1261"/>
      <c r="Q72" s="1261"/>
      <c r="R72" s="1261"/>
      <c r="S72" s="1261"/>
      <c r="T72" s="1261"/>
      <c r="U72" s="1261"/>
      <c r="V72" s="1261"/>
      <c r="W72" s="1261"/>
      <c r="X72" s="1261"/>
      <c r="Y72" s="1261"/>
      <c r="Z72" s="1261"/>
      <c r="AA72" s="1261"/>
      <c r="AB72" s="1261"/>
      <c r="AC72" s="1261"/>
      <c r="AD72" s="1261"/>
      <c r="AE72" s="1261"/>
      <c r="AF72" s="1261"/>
      <c r="AG72" s="1261"/>
      <c r="AH72" s="1261"/>
      <c r="AI72" s="1261"/>
      <c r="AJ72" s="1261"/>
      <c r="AK72" s="1261"/>
    </row>
    <row r="73" spans="1:37">
      <c r="A73" s="4"/>
      <c r="C73" s="2"/>
      <c r="D73" s="4"/>
      <c r="E73" s="4"/>
      <c r="F73" s="8"/>
      <c r="G73" s="1261"/>
      <c r="H73" s="1261"/>
      <c r="I73" s="1261"/>
      <c r="J73" s="1261"/>
      <c r="K73" s="1261"/>
      <c r="L73" s="1261"/>
      <c r="M73" s="1261"/>
      <c r="N73" s="1261"/>
      <c r="O73" s="1261"/>
      <c r="P73" s="1261"/>
      <c r="Q73" s="1261"/>
      <c r="R73" s="1261"/>
      <c r="S73" s="1261"/>
      <c r="T73" s="1261"/>
      <c r="U73" s="1261"/>
      <c r="V73" s="1261"/>
      <c r="W73" s="1261"/>
      <c r="X73" s="1261"/>
      <c r="Y73" s="1261"/>
      <c r="Z73" s="1261"/>
      <c r="AA73" s="1261"/>
      <c r="AB73" s="1261"/>
      <c r="AC73" s="1261"/>
      <c r="AD73" s="1261"/>
      <c r="AE73" s="1261"/>
      <c r="AF73" s="1261"/>
      <c r="AG73" s="1261"/>
      <c r="AH73" s="1261"/>
      <c r="AI73" s="1261"/>
      <c r="AJ73" s="1261"/>
      <c r="AK73" s="1261"/>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1" t="s">
        <v>1169</v>
      </c>
      <c r="H80" s="1261"/>
      <c r="I80" s="1261"/>
      <c r="J80" s="1261"/>
      <c r="K80" s="1261"/>
      <c r="L80" s="1261"/>
      <c r="M80" s="1261"/>
      <c r="N80" s="1261"/>
      <c r="O80" s="1261"/>
      <c r="P80" s="1261"/>
      <c r="Q80" s="1261"/>
      <c r="R80" s="1261"/>
      <c r="S80" s="1261"/>
      <c r="T80" s="1261"/>
      <c r="U80" s="1261"/>
      <c r="V80" s="1261"/>
      <c r="W80" s="1261"/>
      <c r="X80" s="1261"/>
      <c r="Y80" s="1261"/>
      <c r="Z80" s="1261"/>
      <c r="AA80" s="1261"/>
      <c r="AB80" s="1261"/>
      <c r="AC80" s="1261"/>
      <c r="AD80" s="1261"/>
      <c r="AE80" s="1261"/>
      <c r="AF80" s="1261"/>
      <c r="AG80" s="1261"/>
      <c r="AH80" s="1261"/>
      <c r="AI80" s="1261"/>
      <c r="AJ80" s="1261"/>
      <c r="AK80" s="1261"/>
    </row>
    <row r="81" spans="1:37">
      <c r="A81" s="4"/>
      <c r="C81" s="2"/>
      <c r="D81" s="4"/>
      <c r="E81" s="4"/>
      <c r="F81" s="4"/>
      <c r="G81" s="1261"/>
      <c r="H81" s="1261"/>
      <c r="I81" s="1261"/>
      <c r="J81" s="1261"/>
      <c r="K81" s="1261"/>
      <c r="L81" s="1261"/>
      <c r="M81" s="1261"/>
      <c r="N81" s="1261"/>
      <c r="O81" s="1261"/>
      <c r="P81" s="1261"/>
      <c r="Q81" s="1261"/>
      <c r="R81" s="1261"/>
      <c r="S81" s="1261"/>
      <c r="T81" s="1261"/>
      <c r="U81" s="1261"/>
      <c r="V81" s="1261"/>
      <c r="W81" s="1261"/>
      <c r="X81" s="1261"/>
      <c r="Y81" s="1261"/>
      <c r="Z81" s="1261"/>
      <c r="AA81" s="1261"/>
      <c r="AB81" s="1261"/>
      <c r="AC81" s="1261"/>
      <c r="AD81" s="1261"/>
      <c r="AE81" s="1261"/>
      <c r="AF81" s="1261"/>
      <c r="AG81" s="1261"/>
      <c r="AH81" s="1261"/>
      <c r="AI81" s="1261"/>
      <c r="AJ81" s="1261"/>
      <c r="AK81" s="1261"/>
    </row>
    <row r="82" spans="1:37">
      <c r="A82" s="4"/>
      <c r="C82" s="2"/>
      <c r="D82" s="4"/>
      <c r="E82" s="4"/>
      <c r="F82" s="4"/>
      <c r="G82" s="1261"/>
      <c r="H82" s="1261"/>
      <c r="I82" s="1261"/>
      <c r="J82" s="1261"/>
      <c r="K82" s="1261"/>
      <c r="L82" s="1261"/>
      <c r="M82" s="1261"/>
      <c r="N82" s="1261"/>
      <c r="O82" s="1261"/>
      <c r="P82" s="1261"/>
      <c r="Q82" s="1261"/>
      <c r="R82" s="1261"/>
      <c r="S82" s="1261"/>
      <c r="T82" s="1261"/>
      <c r="U82" s="1261"/>
      <c r="V82" s="1261"/>
      <c r="W82" s="1261"/>
      <c r="X82" s="1261"/>
      <c r="Y82" s="1261"/>
      <c r="Z82" s="1261"/>
      <c r="AA82" s="1261"/>
      <c r="AB82" s="1261"/>
      <c r="AC82" s="1261"/>
      <c r="AD82" s="1261"/>
      <c r="AE82" s="1261"/>
      <c r="AF82" s="1261"/>
      <c r="AG82" s="1261"/>
      <c r="AH82" s="1261"/>
      <c r="AI82" s="1261"/>
      <c r="AJ82" s="1261"/>
      <c r="AK82" s="1261"/>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1" t="s">
        <v>1170</v>
      </c>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row>
    <row r="85" spans="1:37">
      <c r="A85" s="4"/>
      <c r="C85" s="2"/>
      <c r="D85" s="4"/>
      <c r="E85" s="4"/>
      <c r="F85" s="4"/>
      <c r="G85" s="1261"/>
      <c r="H85" s="1261"/>
      <c r="I85" s="1261"/>
      <c r="J85" s="1261"/>
      <c r="K85" s="1261"/>
      <c r="L85" s="1261"/>
      <c r="M85" s="1261"/>
      <c r="N85" s="1261"/>
      <c r="O85" s="1261"/>
      <c r="P85" s="1261"/>
      <c r="Q85" s="1261"/>
      <c r="R85" s="1261"/>
      <c r="S85" s="1261"/>
      <c r="T85" s="1261"/>
      <c r="U85" s="1261"/>
      <c r="V85" s="1261"/>
      <c r="W85" s="1261"/>
      <c r="X85" s="1261"/>
      <c r="Y85" s="1261"/>
      <c r="Z85" s="1261"/>
      <c r="AA85" s="1261"/>
      <c r="AB85" s="1261"/>
      <c r="AC85" s="1261"/>
      <c r="AD85" s="1261"/>
      <c r="AE85" s="1261"/>
      <c r="AF85" s="1261"/>
      <c r="AG85" s="1261"/>
      <c r="AH85" s="1261"/>
      <c r="AI85" s="1261"/>
      <c r="AJ85" s="1261"/>
      <c r="AK85" s="1261"/>
    </row>
    <row r="86" spans="1:37">
      <c r="A86" s="4"/>
      <c r="C86" s="2"/>
      <c r="D86" s="4"/>
      <c r="E86" s="4"/>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71" t="s">
        <v>1171</v>
      </c>
      <c r="H88" s="1271"/>
      <c r="I88" s="1271"/>
      <c r="J88" s="1271"/>
      <c r="K88" s="1271"/>
      <c r="L88" s="1271"/>
      <c r="M88" s="1271"/>
      <c r="N88" s="1271"/>
      <c r="O88" s="1271"/>
      <c r="P88" s="1271"/>
      <c r="Q88" s="1271"/>
      <c r="R88" s="1271"/>
      <c r="S88" s="1271"/>
      <c r="T88" s="1271"/>
      <c r="U88" s="1271"/>
      <c r="V88" s="1271"/>
      <c r="W88" s="1271"/>
      <c r="X88" s="1271"/>
      <c r="Y88" s="1271"/>
      <c r="Z88" s="1271"/>
      <c r="AA88" s="1271"/>
      <c r="AB88" s="1271"/>
      <c r="AC88" s="1271"/>
      <c r="AD88" s="1271"/>
      <c r="AE88" s="1271"/>
      <c r="AF88" s="1271"/>
      <c r="AG88" s="1271"/>
      <c r="AH88" s="1271"/>
      <c r="AI88" s="1271"/>
      <c r="AJ88" s="1271"/>
      <c r="AK88" s="1271"/>
    </row>
    <row r="89" spans="1:37">
      <c r="A89" s="4"/>
      <c r="C89" s="2"/>
      <c r="D89" s="4"/>
      <c r="E89" s="4"/>
      <c r="G89" s="1271"/>
      <c r="H89" s="1271"/>
      <c r="I89" s="1271"/>
      <c r="J89" s="1271"/>
      <c r="K89" s="1271"/>
      <c r="L89" s="1271"/>
      <c r="M89" s="1271"/>
      <c r="N89" s="1271"/>
      <c r="O89" s="1271"/>
      <c r="P89" s="1271"/>
      <c r="Q89" s="1271"/>
      <c r="R89" s="1271"/>
      <c r="S89" s="1271"/>
      <c r="T89" s="1271"/>
      <c r="U89" s="1271"/>
      <c r="V89" s="1271"/>
      <c r="W89" s="1271"/>
      <c r="X89" s="1271"/>
      <c r="Y89" s="1271"/>
      <c r="Z89" s="1271"/>
      <c r="AA89" s="1271"/>
      <c r="AB89" s="1271"/>
      <c r="AC89" s="1271"/>
      <c r="AD89" s="1271"/>
      <c r="AE89" s="1271"/>
      <c r="AF89" s="1271"/>
      <c r="AG89" s="1271"/>
      <c r="AH89" s="1271"/>
      <c r="AI89" s="1271"/>
      <c r="AJ89" s="1271"/>
      <c r="AK89" s="1271"/>
    </row>
    <row r="90" spans="1:37">
      <c r="A90" s="4"/>
      <c r="C90" s="2"/>
      <c r="D90" s="4"/>
      <c r="E90" s="4"/>
      <c r="G90" s="1271"/>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1" t="s">
        <v>1172</v>
      </c>
      <c r="H92" s="1261"/>
      <c r="I92" s="1261"/>
      <c r="J92" s="1261"/>
      <c r="K92" s="1261"/>
      <c r="L92" s="1261"/>
      <c r="M92" s="1261"/>
      <c r="N92" s="1261"/>
      <c r="O92" s="1261"/>
      <c r="P92" s="1261"/>
      <c r="Q92" s="1261"/>
      <c r="R92" s="1261"/>
      <c r="S92" s="1261"/>
      <c r="T92" s="1261"/>
      <c r="U92" s="1261"/>
      <c r="V92" s="1261"/>
      <c r="W92" s="1261"/>
      <c r="X92" s="1261"/>
      <c r="Y92" s="1261"/>
      <c r="Z92" s="1261"/>
      <c r="AA92" s="1261"/>
      <c r="AB92" s="1261"/>
      <c r="AC92" s="1261"/>
      <c r="AD92" s="1261"/>
      <c r="AE92" s="1261"/>
      <c r="AF92" s="1261"/>
      <c r="AG92" s="1261"/>
      <c r="AH92" s="1261"/>
      <c r="AI92" s="1261"/>
      <c r="AJ92" s="1261"/>
      <c r="AK92" s="1261"/>
    </row>
    <row r="93" spans="1:37">
      <c r="A93" s="4"/>
      <c r="C93" s="2"/>
      <c r="D93" s="4"/>
      <c r="E93" s="4"/>
      <c r="G93" s="1261"/>
      <c r="H93" s="1261"/>
      <c r="I93" s="1261"/>
      <c r="J93" s="1261"/>
      <c r="K93" s="1261"/>
      <c r="L93" s="1261"/>
      <c r="M93" s="1261"/>
      <c r="N93" s="1261"/>
      <c r="O93" s="1261"/>
      <c r="P93" s="1261"/>
      <c r="Q93" s="1261"/>
      <c r="R93" s="1261"/>
      <c r="S93" s="1261"/>
      <c r="T93" s="1261"/>
      <c r="U93" s="1261"/>
      <c r="V93" s="1261"/>
      <c r="W93" s="1261"/>
      <c r="X93" s="1261"/>
      <c r="Y93" s="1261"/>
      <c r="Z93" s="1261"/>
      <c r="AA93" s="1261"/>
      <c r="AB93" s="1261"/>
      <c r="AC93" s="1261"/>
      <c r="AD93" s="1261"/>
      <c r="AE93" s="1261"/>
      <c r="AF93" s="1261"/>
      <c r="AG93" s="1261"/>
      <c r="AH93" s="1261"/>
      <c r="AI93" s="1261"/>
      <c r="AJ93" s="1261"/>
      <c r="AK93" s="1261"/>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1" t="s">
        <v>1173</v>
      </c>
      <c r="H95" s="1261"/>
      <c r="I95" s="1261"/>
      <c r="J95" s="1261"/>
      <c r="K95" s="1261"/>
      <c r="L95" s="1261"/>
      <c r="M95" s="1261"/>
      <c r="N95" s="1261"/>
      <c r="O95" s="1261"/>
      <c r="P95" s="1261"/>
      <c r="Q95" s="1261"/>
      <c r="R95" s="1261"/>
      <c r="S95" s="1261"/>
      <c r="T95" s="1261"/>
      <c r="U95" s="1261"/>
      <c r="V95" s="1261"/>
      <c r="W95" s="1261"/>
      <c r="X95" s="1261"/>
      <c r="Y95" s="1261"/>
      <c r="Z95" s="1261"/>
      <c r="AA95" s="1261"/>
      <c r="AB95" s="1261"/>
      <c r="AC95" s="1261"/>
      <c r="AD95" s="1261"/>
      <c r="AE95" s="1261"/>
      <c r="AF95" s="1261"/>
      <c r="AG95" s="1261"/>
      <c r="AH95" s="1261"/>
      <c r="AI95" s="1261"/>
      <c r="AJ95" s="1261"/>
      <c r="AK95" s="1261"/>
    </row>
    <row r="96" spans="1:37">
      <c r="A96" s="4"/>
      <c r="C96" s="2"/>
      <c r="D96" s="4"/>
      <c r="E96" s="4"/>
      <c r="G96" s="1261"/>
      <c r="H96" s="1261"/>
      <c r="I96" s="1261"/>
      <c r="J96" s="1261"/>
      <c r="K96" s="1261"/>
      <c r="L96" s="1261"/>
      <c r="M96" s="1261"/>
      <c r="N96" s="1261"/>
      <c r="O96" s="1261"/>
      <c r="P96" s="1261"/>
      <c r="Q96" s="1261"/>
      <c r="R96" s="1261"/>
      <c r="S96" s="1261"/>
      <c r="T96" s="1261"/>
      <c r="U96" s="1261"/>
      <c r="V96" s="1261"/>
      <c r="W96" s="1261"/>
      <c r="X96" s="1261"/>
      <c r="Y96" s="1261"/>
      <c r="Z96" s="1261"/>
      <c r="AA96" s="1261"/>
      <c r="AB96" s="1261"/>
      <c r="AC96" s="1261"/>
      <c r="AD96" s="1261"/>
      <c r="AE96" s="1261"/>
      <c r="AF96" s="1261"/>
      <c r="AG96" s="1261"/>
      <c r="AH96" s="1261"/>
      <c r="AI96" s="1261"/>
      <c r="AJ96" s="1261"/>
      <c r="AK96" s="1261"/>
    </row>
    <row r="97" spans="1:38">
      <c r="A97" s="4"/>
      <c r="C97" s="2"/>
      <c r="D97" s="4"/>
      <c r="E97" s="4"/>
      <c r="G97" s="1261"/>
      <c r="H97" s="1261"/>
      <c r="I97" s="1261"/>
      <c r="J97" s="1261"/>
      <c r="K97" s="1261"/>
      <c r="L97" s="1261"/>
      <c r="M97" s="1261"/>
      <c r="N97" s="1261"/>
      <c r="O97" s="1261"/>
      <c r="P97" s="1261"/>
      <c r="Q97" s="1261"/>
      <c r="R97" s="1261"/>
      <c r="S97" s="1261"/>
      <c r="T97" s="1261"/>
      <c r="U97" s="1261"/>
      <c r="V97" s="1261"/>
      <c r="W97" s="1261"/>
      <c r="X97" s="1261"/>
      <c r="Y97" s="1261"/>
      <c r="Z97" s="1261"/>
      <c r="AA97" s="1261"/>
      <c r="AB97" s="1261"/>
      <c r="AC97" s="1261"/>
      <c r="AD97" s="1261"/>
      <c r="AE97" s="1261"/>
      <c r="AF97" s="1261"/>
      <c r="AG97" s="1261"/>
      <c r="AH97" s="1261"/>
      <c r="AI97" s="1261"/>
      <c r="AJ97" s="1261"/>
      <c r="AK97" s="1261"/>
    </row>
    <row r="98" spans="1:38">
      <c r="A98" s="4"/>
      <c r="D98" s="99"/>
      <c r="E98" s="1272" t="s">
        <v>1174</v>
      </c>
      <c r="F98" s="1272"/>
      <c r="G98" s="1272"/>
      <c r="H98" s="1272"/>
      <c r="I98" s="1272"/>
      <c r="J98" s="1272"/>
      <c r="K98" s="1272"/>
      <c r="L98" s="1272"/>
      <c r="M98" s="1272"/>
      <c r="N98" s="1272"/>
      <c r="O98" s="1272"/>
      <c r="P98" s="1272"/>
      <c r="Q98" s="1272"/>
      <c r="R98" s="1272"/>
      <c r="S98" s="1272"/>
      <c r="T98" s="1272"/>
      <c r="U98" s="1272"/>
      <c r="V98" s="1272"/>
      <c r="W98" s="1272"/>
      <c r="X98" s="1272"/>
      <c r="Y98" s="1272"/>
      <c r="Z98" s="1272"/>
      <c r="AA98" s="1272"/>
      <c r="AB98" s="1272"/>
      <c r="AC98" s="1272"/>
      <c r="AD98" s="1272"/>
      <c r="AE98" s="1272"/>
      <c r="AF98" s="1272"/>
      <c r="AG98" s="1272"/>
      <c r="AH98" s="1272"/>
      <c r="AI98" s="1272"/>
      <c r="AJ98" s="1272"/>
      <c r="AK98" s="1272"/>
    </row>
    <row r="99" spans="1:38">
      <c r="A99" s="4"/>
      <c r="D99" s="99"/>
      <c r="E99" s="1272"/>
      <c r="F99" s="1272"/>
      <c r="G99" s="1272"/>
      <c r="H99" s="1272"/>
      <c r="I99" s="1272"/>
      <c r="J99" s="1272"/>
      <c r="K99" s="1272"/>
      <c r="L99" s="1272"/>
      <c r="M99" s="1272"/>
      <c r="N99" s="1272"/>
      <c r="O99" s="1272"/>
      <c r="P99" s="1272"/>
      <c r="Q99" s="1272"/>
      <c r="R99" s="1272"/>
      <c r="S99" s="1272"/>
      <c r="T99" s="1272"/>
      <c r="U99" s="1272"/>
      <c r="V99" s="1272"/>
      <c r="W99" s="1272"/>
      <c r="X99" s="1272"/>
      <c r="Y99" s="1272"/>
      <c r="Z99" s="1272"/>
      <c r="AA99" s="1272"/>
      <c r="AB99" s="1272"/>
      <c r="AC99" s="1272"/>
      <c r="AD99" s="1272"/>
      <c r="AE99" s="1272"/>
      <c r="AF99" s="1272"/>
      <c r="AG99" s="1272"/>
      <c r="AH99" s="1272"/>
      <c r="AI99" s="1272"/>
      <c r="AJ99" s="1272"/>
      <c r="AK99" s="1272"/>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1185</v>
      </c>
      <c r="H103" s="2"/>
      <c r="I103" s="2"/>
      <c r="K103" s="2"/>
    </row>
    <row r="104" spans="1:38">
      <c r="B104" s="2"/>
      <c r="C104" s="2"/>
      <c r="D104" s="2" t="s">
        <v>207</v>
      </c>
      <c r="E104" s="2" t="s">
        <v>1187</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1014</v>
      </c>
      <c r="G117" s="4"/>
    </row>
    <row r="118" spans="2:10">
      <c r="F118" s="99" t="s">
        <v>1186</v>
      </c>
      <c r="G118" s="99"/>
    </row>
    <row r="119" spans="2:10">
      <c r="G119" s="99"/>
    </row>
    <row r="120" spans="2:10">
      <c r="E120" s="4" t="s">
        <v>763</v>
      </c>
      <c r="F120" s="98" t="s">
        <v>378</v>
      </c>
    </row>
    <row r="121" spans="2:10">
      <c r="E121" s="4"/>
      <c r="F121" s="4" t="s">
        <v>1006</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1212</v>
      </c>
      <c r="F136" s="4"/>
    </row>
    <row r="137" spans="4:37">
      <c r="F137" s="4"/>
    </row>
    <row r="138" spans="4:37">
      <c r="D138" s="2" t="s">
        <v>303</v>
      </c>
      <c r="E138" s="2" t="s">
        <v>2041</v>
      </c>
      <c r="F138" s="2"/>
      <c r="G138" s="2"/>
      <c r="H138" s="2"/>
    </row>
    <row r="139" spans="4:37">
      <c r="E139" t="s">
        <v>112</v>
      </c>
      <c r="F139" t="s">
        <v>52</v>
      </c>
    </row>
    <row r="140" spans="4:37">
      <c r="E140" t="s">
        <v>113</v>
      </c>
      <c r="F140" t="s">
        <v>466</v>
      </c>
    </row>
    <row r="141" spans="4:37"/>
    <row r="142" spans="4:37">
      <c r="D142" s="2" t="s">
        <v>429</v>
      </c>
      <c r="E142" s="2" t="s">
        <v>2042</v>
      </c>
    </row>
    <row r="143" spans="4:37">
      <c r="E143" s="204" t="s">
        <v>2043</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381</v>
      </c>
    </row>
    <row r="162" spans="3:20">
      <c r="E162" s="4" t="s">
        <v>929</v>
      </c>
      <c r="F162" s="4"/>
    </row>
    <row r="163" spans="3:20"/>
    <row r="164" spans="3:20">
      <c r="D164" s="2" t="s">
        <v>429</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1147</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1007</v>
      </c>
    </row>
    <row r="184" spans="2:19">
      <c r="B184" s="4"/>
      <c r="C184" s="4"/>
      <c r="E184" s="4" t="s">
        <v>709</v>
      </c>
      <c r="F184" s="4"/>
      <c r="I184" s="4"/>
    </row>
    <row r="185" spans="2:19">
      <c r="B185" s="4"/>
      <c r="C185" s="4"/>
      <c r="E185" s="4" t="s">
        <v>1005</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1015</v>
      </c>
      <c r="G191" s="4"/>
      <c r="H191" s="4"/>
      <c r="I191" s="4"/>
    </row>
    <row r="192" spans="2:19">
      <c r="B192" s="4"/>
      <c r="C192" s="2"/>
      <c r="F192" s="4" t="s">
        <v>653</v>
      </c>
      <c r="G192" s="3" t="s">
        <v>1206</v>
      </c>
    </row>
    <row r="193" spans="2:37">
      <c r="B193" s="4"/>
      <c r="C193" s="4"/>
      <c r="F193" s="4" t="s">
        <v>348</v>
      </c>
      <c r="G193" s="3" t="s">
        <v>1207</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1" t="s">
        <v>1175</v>
      </c>
      <c r="H205" s="1261"/>
      <c r="I205" s="1261"/>
      <c r="J205" s="1261"/>
      <c r="K205" s="1261"/>
      <c r="L205" s="1261"/>
      <c r="M205" s="1261"/>
      <c r="N205" s="1261"/>
      <c r="O205" s="1261"/>
      <c r="P205" s="1261"/>
      <c r="Q205" s="1261"/>
      <c r="R205" s="1261"/>
      <c r="S205" s="1261"/>
      <c r="T205" s="1261"/>
      <c r="U205" s="1261"/>
      <c r="V205" s="1261"/>
      <c r="W205" s="1261"/>
      <c r="X205" s="1261"/>
      <c r="Y205" s="1261"/>
      <c r="Z205" s="1261"/>
      <c r="AA205" s="1261"/>
      <c r="AB205" s="1261"/>
      <c r="AC205" s="1261"/>
      <c r="AD205" s="1261"/>
      <c r="AE205" s="1261"/>
      <c r="AF205" s="1261"/>
      <c r="AG205" s="1261"/>
      <c r="AH205" s="1261"/>
      <c r="AI205" s="1261"/>
      <c r="AJ205" s="1261"/>
      <c r="AK205" s="1261"/>
    </row>
    <row r="206" spans="2:37">
      <c r="B206" s="4"/>
      <c r="C206" s="4"/>
      <c r="D206" s="2"/>
      <c r="G206" s="1261"/>
      <c r="H206" s="1261"/>
      <c r="I206" s="1261"/>
      <c r="J206" s="1261"/>
      <c r="K206" s="1261"/>
      <c r="L206" s="1261"/>
      <c r="M206" s="1261"/>
      <c r="N206" s="1261"/>
      <c r="O206" s="1261"/>
      <c r="P206" s="1261"/>
      <c r="Q206" s="1261"/>
      <c r="R206" s="1261"/>
      <c r="S206" s="1261"/>
      <c r="T206" s="1261"/>
      <c r="U206" s="1261"/>
      <c r="V206" s="1261"/>
      <c r="W206" s="1261"/>
      <c r="X206" s="1261"/>
      <c r="Y206" s="1261"/>
      <c r="Z206" s="1261"/>
      <c r="AA206" s="1261"/>
      <c r="AB206" s="1261"/>
      <c r="AC206" s="1261"/>
      <c r="AD206" s="1261"/>
      <c r="AE206" s="1261"/>
      <c r="AF206" s="1261"/>
      <c r="AG206" s="1261"/>
      <c r="AH206" s="1261"/>
      <c r="AI206" s="1261"/>
      <c r="AJ206" s="1261"/>
      <c r="AK206" s="1261"/>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1" t="s">
        <v>1154</v>
      </c>
      <c r="G336" s="1261"/>
      <c r="H336" s="1261"/>
      <c r="I336" s="1261"/>
      <c r="J336" s="1261"/>
      <c r="K336" s="1261"/>
      <c r="L336" s="1261"/>
      <c r="M336" s="1261"/>
      <c r="N336" s="1261"/>
      <c r="O336" s="1261"/>
      <c r="P336" s="1261"/>
      <c r="Q336" s="1261"/>
      <c r="R336" s="1261"/>
      <c r="S336" s="1261"/>
      <c r="T336" s="1261"/>
      <c r="U336" s="1261"/>
      <c r="V336" s="1261"/>
      <c r="W336" s="1261"/>
      <c r="X336" s="1261"/>
      <c r="Y336" s="1261"/>
      <c r="Z336" s="1261"/>
      <c r="AA336" s="1261"/>
      <c r="AB336" s="1261"/>
      <c r="AC336" s="1261"/>
      <c r="AD336" s="1261"/>
      <c r="AE336" s="1261"/>
      <c r="AF336" s="1261"/>
      <c r="AG336" s="1261"/>
      <c r="AH336" s="1261"/>
      <c r="AI336" s="1261"/>
      <c r="AJ336" s="1261"/>
      <c r="AK336" s="1261"/>
    </row>
    <row r="337" spans="2:37">
      <c r="B337" s="2"/>
      <c r="E337" s="4"/>
      <c r="F337" s="1261"/>
      <c r="G337" s="1261"/>
      <c r="H337" s="1261"/>
      <c r="I337" s="1261"/>
      <c r="J337" s="1261"/>
      <c r="K337" s="1261"/>
      <c r="L337" s="1261"/>
      <c r="M337" s="1261"/>
      <c r="N337" s="1261"/>
      <c r="O337" s="1261"/>
      <c r="P337" s="1261"/>
      <c r="Q337" s="1261"/>
      <c r="R337" s="1261"/>
      <c r="S337" s="1261"/>
      <c r="T337" s="1261"/>
      <c r="U337" s="1261"/>
      <c r="V337" s="1261"/>
      <c r="W337" s="1261"/>
      <c r="X337" s="1261"/>
      <c r="Y337" s="1261"/>
      <c r="Z337" s="1261"/>
      <c r="AA337" s="1261"/>
      <c r="AB337" s="1261"/>
      <c r="AC337" s="1261"/>
      <c r="AD337" s="1261"/>
      <c r="AE337" s="1261"/>
      <c r="AF337" s="1261"/>
      <c r="AG337" s="1261"/>
      <c r="AH337" s="1261"/>
      <c r="AI337" s="1261"/>
      <c r="AJ337" s="1261"/>
      <c r="AK337" s="1261"/>
    </row>
    <row r="338" spans="2:37">
      <c r="B338" s="2"/>
      <c r="E338" s="4"/>
      <c r="F338" s="1261"/>
      <c r="G338" s="1261"/>
      <c r="H338" s="1261"/>
      <c r="I338" s="1261"/>
      <c r="J338" s="1261"/>
      <c r="K338" s="1261"/>
      <c r="L338" s="1261"/>
      <c r="M338" s="1261"/>
      <c r="N338" s="1261"/>
      <c r="O338" s="1261"/>
      <c r="P338" s="1261"/>
      <c r="Q338" s="1261"/>
      <c r="R338" s="1261"/>
      <c r="S338" s="1261"/>
      <c r="T338" s="1261"/>
      <c r="U338" s="1261"/>
      <c r="V338" s="1261"/>
      <c r="W338" s="1261"/>
      <c r="X338" s="1261"/>
      <c r="Y338" s="1261"/>
      <c r="Z338" s="1261"/>
      <c r="AA338" s="1261"/>
      <c r="AB338" s="1261"/>
      <c r="AC338" s="1261"/>
      <c r="AD338" s="1261"/>
      <c r="AE338" s="1261"/>
      <c r="AF338" s="1261"/>
      <c r="AG338" s="1261"/>
      <c r="AH338" s="1261"/>
      <c r="AI338" s="1261"/>
      <c r="AJ338" s="1261"/>
      <c r="AK338" s="1261"/>
    </row>
    <row r="339" spans="2:37">
      <c r="B339" s="2"/>
      <c r="F339" s="4"/>
      <c r="H339" s="4"/>
      <c r="I339" s="4"/>
      <c r="J339" s="4"/>
      <c r="K339" s="4"/>
      <c r="L339" s="4"/>
      <c r="M339" s="4"/>
      <c r="N339" s="4"/>
      <c r="O339" s="4"/>
      <c r="P339" s="4"/>
      <c r="Q339" s="4"/>
      <c r="R339" s="4"/>
      <c r="S339" s="4"/>
    </row>
    <row r="340" spans="2:37">
      <c r="B340" s="2"/>
      <c r="C340" s="2" t="s">
        <v>431</v>
      </c>
      <c r="G340" s="2" t="s">
        <v>1227</v>
      </c>
      <c r="I340" s="2"/>
      <c r="J340" s="4"/>
      <c r="K340" s="4"/>
      <c r="L340" s="4"/>
      <c r="M340" s="4"/>
      <c r="N340" s="4"/>
      <c r="O340" s="4"/>
      <c r="P340" s="4"/>
      <c r="Q340" s="4"/>
      <c r="R340" s="4"/>
      <c r="S340" s="4"/>
    </row>
    <row r="341" spans="2:37" ht="13.15" customHeight="1">
      <c r="B341" s="2"/>
      <c r="E341" s="1264" t="s">
        <v>1234</v>
      </c>
      <c r="F341" s="1264"/>
      <c r="G341" s="1264"/>
      <c r="H341" s="1264"/>
      <c r="I341" s="1264"/>
      <c r="J341" s="1264"/>
      <c r="K341" s="1264"/>
      <c r="L341" s="1264"/>
      <c r="M341" s="1264"/>
      <c r="N341" s="1264"/>
      <c r="O341" s="1264"/>
      <c r="P341" s="1264"/>
      <c r="Q341" s="1264"/>
      <c r="R341" s="1264"/>
      <c r="S341" s="1264"/>
      <c r="T341" s="1264"/>
      <c r="U341" s="1264"/>
      <c r="V341" s="1264"/>
      <c r="W341" s="1264"/>
      <c r="X341" s="1264"/>
      <c r="Y341" s="1264"/>
      <c r="Z341" s="1264"/>
      <c r="AA341" s="1264"/>
      <c r="AB341" s="1264"/>
      <c r="AC341" s="1264"/>
      <c r="AD341" s="1264"/>
      <c r="AE341" s="1264"/>
      <c r="AF341" s="1264"/>
      <c r="AG341" s="1264"/>
      <c r="AH341" s="1264"/>
      <c r="AI341" s="1264"/>
      <c r="AJ341" s="1264"/>
      <c r="AK341" s="1264"/>
    </row>
    <row r="342" spans="2:37">
      <c r="B342" s="2"/>
      <c r="E342" s="1264"/>
      <c r="F342" s="1264"/>
      <c r="G342" s="1264"/>
      <c r="H342" s="1264"/>
      <c r="I342" s="1264"/>
      <c r="J342" s="1264"/>
      <c r="K342" s="1264"/>
      <c r="L342" s="1264"/>
      <c r="M342" s="1264"/>
      <c r="N342" s="1264"/>
      <c r="O342" s="1264"/>
      <c r="P342" s="1264"/>
      <c r="Q342" s="1264"/>
      <c r="R342" s="1264"/>
      <c r="S342" s="1264"/>
      <c r="T342" s="1264"/>
      <c r="U342" s="1264"/>
      <c r="V342" s="1264"/>
      <c r="W342" s="1264"/>
      <c r="X342" s="1264"/>
      <c r="Y342" s="1264"/>
      <c r="Z342" s="1264"/>
      <c r="AA342" s="1264"/>
      <c r="AB342" s="1264"/>
      <c r="AC342" s="1264"/>
      <c r="AD342" s="1264"/>
      <c r="AE342" s="1264"/>
      <c r="AF342" s="1264"/>
      <c r="AG342" s="1264"/>
      <c r="AH342" s="1264"/>
      <c r="AI342" s="1264"/>
      <c r="AJ342" s="1264"/>
      <c r="AK342" s="1264"/>
    </row>
    <row r="343" spans="2:37">
      <c r="B343" s="2"/>
      <c r="E343" s="1264"/>
      <c r="F343" s="1264"/>
      <c r="G343" s="1264"/>
      <c r="H343" s="1264"/>
      <c r="I343" s="1264"/>
      <c r="J343" s="1264"/>
      <c r="K343" s="1264"/>
      <c r="L343" s="1264"/>
      <c r="M343" s="1264"/>
      <c r="N343" s="1264"/>
      <c r="O343" s="1264"/>
      <c r="P343" s="1264"/>
      <c r="Q343" s="1264"/>
      <c r="R343" s="1264"/>
      <c r="S343" s="1264"/>
      <c r="T343" s="1264"/>
      <c r="U343" s="1264"/>
      <c r="V343" s="1264"/>
      <c r="W343" s="1264"/>
      <c r="X343" s="1264"/>
      <c r="Y343" s="1264"/>
      <c r="Z343" s="1264"/>
      <c r="AA343" s="1264"/>
      <c r="AB343" s="1264"/>
      <c r="AC343" s="1264"/>
      <c r="AD343" s="1264"/>
      <c r="AE343" s="1264"/>
      <c r="AF343" s="1264"/>
      <c r="AG343" s="1264"/>
      <c r="AH343" s="1264"/>
      <c r="AI343" s="1264"/>
      <c r="AJ343" s="1264"/>
      <c r="AK343" s="1264"/>
    </row>
    <row r="344" spans="2:37">
      <c r="B344" s="2"/>
      <c r="E344" s="1264"/>
      <c r="F344" s="1264"/>
      <c r="G344" s="1264"/>
      <c r="H344" s="1264"/>
      <c r="I344" s="1264"/>
      <c r="J344" s="1264"/>
      <c r="K344" s="1264"/>
      <c r="L344" s="1264"/>
      <c r="M344" s="1264"/>
      <c r="N344" s="1264"/>
      <c r="O344" s="1264"/>
      <c r="P344" s="1264"/>
      <c r="Q344" s="1264"/>
      <c r="R344" s="1264"/>
      <c r="S344" s="1264"/>
      <c r="T344" s="1264"/>
      <c r="U344" s="1264"/>
      <c r="V344" s="1264"/>
      <c r="W344" s="1264"/>
      <c r="X344" s="1264"/>
      <c r="Y344" s="1264"/>
      <c r="Z344" s="1264"/>
      <c r="AA344" s="1264"/>
      <c r="AB344" s="1264"/>
      <c r="AC344" s="1264"/>
      <c r="AD344" s="1264"/>
      <c r="AE344" s="1264"/>
      <c r="AF344" s="1264"/>
      <c r="AG344" s="1264"/>
      <c r="AH344" s="1264"/>
      <c r="AI344" s="1264"/>
      <c r="AJ344" s="1264"/>
      <c r="AK344" s="1264"/>
    </row>
    <row r="345" spans="2:37">
      <c r="B345" s="2"/>
      <c r="E345" s="1264"/>
      <c r="F345" s="1264"/>
      <c r="G345" s="1264"/>
      <c r="H345" s="1264"/>
      <c r="I345" s="1264"/>
      <c r="J345" s="1264"/>
      <c r="K345" s="1264"/>
      <c r="L345" s="1264"/>
      <c r="M345" s="1264"/>
      <c r="N345" s="1264"/>
      <c r="O345" s="1264"/>
      <c r="P345" s="1264"/>
      <c r="Q345" s="1264"/>
      <c r="R345" s="1264"/>
      <c r="S345" s="1264"/>
      <c r="T345" s="1264"/>
      <c r="U345" s="1264"/>
      <c r="V345" s="1264"/>
      <c r="W345" s="1264"/>
      <c r="X345" s="1264"/>
      <c r="Y345" s="1264"/>
      <c r="Z345" s="1264"/>
      <c r="AA345" s="1264"/>
      <c r="AB345" s="1264"/>
      <c r="AC345" s="1264"/>
      <c r="AD345" s="1264"/>
      <c r="AE345" s="1264"/>
      <c r="AF345" s="1264"/>
      <c r="AG345" s="1264"/>
      <c r="AH345" s="1264"/>
      <c r="AI345" s="1264"/>
      <c r="AJ345" s="1264"/>
      <c r="AK345" s="1264"/>
    </row>
    <row r="346" spans="2:37">
      <c r="B346" s="2"/>
      <c r="E346" s="3" t="s">
        <v>112</v>
      </c>
      <c r="F346" s="1261" t="s">
        <v>1236</v>
      </c>
      <c r="G346" s="1261"/>
      <c r="H346" s="1261"/>
      <c r="I346" s="1261"/>
      <c r="J346" s="1261"/>
      <c r="K346" s="1261"/>
      <c r="L346" s="1261"/>
      <c r="M346" s="1261"/>
      <c r="N346" s="1261"/>
      <c r="O346" s="1261"/>
      <c r="P346" s="1261"/>
      <c r="Q346" s="1261"/>
      <c r="R346" s="1261"/>
      <c r="S346" s="1261"/>
      <c r="T346" s="1261"/>
      <c r="U346" s="1261"/>
      <c r="V346" s="1261"/>
      <c r="W346" s="1261"/>
      <c r="X346" s="1261"/>
      <c r="Y346" s="1261"/>
      <c r="Z346" s="1261"/>
      <c r="AA346" s="1261"/>
      <c r="AB346" s="1261"/>
      <c r="AC346" s="1261"/>
      <c r="AD346" s="1261"/>
      <c r="AE346" s="1261"/>
      <c r="AF346" s="1261"/>
      <c r="AG346" s="1261"/>
      <c r="AH346" s="1261"/>
      <c r="AI346" s="1261"/>
      <c r="AJ346" s="1261"/>
      <c r="AK346" s="1261"/>
    </row>
    <row r="347" spans="2:37">
      <c r="B347" s="2"/>
      <c r="E347" s="3"/>
      <c r="F347" s="1261"/>
      <c r="G347" s="1261"/>
      <c r="H347" s="1261"/>
      <c r="I347" s="1261"/>
      <c r="J347" s="1261"/>
      <c r="K347" s="1261"/>
      <c r="L347" s="1261"/>
      <c r="M347" s="1261"/>
      <c r="N347" s="1261"/>
      <c r="O347" s="1261"/>
      <c r="P347" s="1261"/>
      <c r="Q347" s="1261"/>
      <c r="R347" s="1261"/>
      <c r="S347" s="1261"/>
      <c r="T347" s="1261"/>
      <c r="U347" s="1261"/>
      <c r="V347" s="1261"/>
      <c r="W347" s="1261"/>
      <c r="X347" s="1261"/>
      <c r="Y347" s="1261"/>
      <c r="Z347" s="1261"/>
      <c r="AA347" s="1261"/>
      <c r="AB347" s="1261"/>
      <c r="AC347" s="1261"/>
      <c r="AD347" s="1261"/>
      <c r="AE347" s="1261"/>
      <c r="AF347" s="1261"/>
      <c r="AG347" s="1261"/>
      <c r="AH347" s="1261"/>
      <c r="AI347" s="1261"/>
      <c r="AJ347" s="1261"/>
      <c r="AK347" s="1261"/>
    </row>
    <row r="348" spans="2:37">
      <c r="B348" s="2"/>
      <c r="E348" s="3"/>
      <c r="F348" s="1261"/>
      <c r="G348" s="1261"/>
      <c r="H348" s="1261"/>
      <c r="I348" s="1261"/>
      <c r="J348" s="1261"/>
      <c r="K348" s="1261"/>
      <c r="L348" s="1261"/>
      <c r="M348" s="1261"/>
      <c r="N348" s="1261"/>
      <c r="O348" s="1261"/>
      <c r="P348" s="1261"/>
      <c r="Q348" s="1261"/>
      <c r="R348" s="1261"/>
      <c r="S348" s="1261"/>
      <c r="T348" s="1261"/>
      <c r="U348" s="1261"/>
      <c r="V348" s="1261"/>
      <c r="W348" s="1261"/>
      <c r="X348" s="1261"/>
      <c r="Y348" s="1261"/>
      <c r="Z348" s="1261"/>
      <c r="AA348" s="1261"/>
      <c r="AB348" s="1261"/>
      <c r="AC348" s="1261"/>
      <c r="AD348" s="1261"/>
      <c r="AE348" s="1261"/>
      <c r="AF348" s="1261"/>
      <c r="AG348" s="1261"/>
      <c r="AH348" s="1261"/>
      <c r="AI348" s="1261"/>
      <c r="AJ348" s="1261"/>
      <c r="AK348" s="1261"/>
    </row>
    <row r="349" spans="2:37">
      <c r="B349" s="2"/>
      <c r="E349" s="3"/>
      <c r="F349" s="1261"/>
      <c r="G349" s="1261"/>
      <c r="H349" s="1261"/>
      <c r="I349" s="1261"/>
      <c r="J349" s="1261"/>
      <c r="K349" s="1261"/>
      <c r="L349" s="1261"/>
      <c r="M349" s="1261"/>
      <c r="N349" s="1261"/>
      <c r="O349" s="1261"/>
      <c r="P349" s="1261"/>
      <c r="Q349" s="1261"/>
      <c r="R349" s="1261"/>
      <c r="S349" s="1261"/>
      <c r="T349" s="1261"/>
      <c r="U349" s="1261"/>
      <c r="V349" s="1261"/>
      <c r="W349" s="1261"/>
      <c r="X349" s="1261"/>
      <c r="Y349" s="1261"/>
      <c r="Z349" s="1261"/>
      <c r="AA349" s="1261"/>
      <c r="AB349" s="1261"/>
      <c r="AC349" s="1261"/>
      <c r="AD349" s="1261"/>
      <c r="AE349" s="1261"/>
      <c r="AF349" s="1261"/>
      <c r="AG349" s="1261"/>
      <c r="AH349" s="1261"/>
      <c r="AI349" s="1261"/>
      <c r="AJ349" s="1261"/>
      <c r="AK349" s="1261"/>
    </row>
    <row r="350" spans="2:37">
      <c r="B350" s="2"/>
      <c r="E350" s="3" t="s">
        <v>113</v>
      </c>
      <c r="F350" s="1261" t="s">
        <v>1235</v>
      </c>
      <c r="G350" s="1261"/>
      <c r="H350" s="1261"/>
      <c r="I350" s="1261"/>
      <c r="J350" s="1261"/>
      <c r="K350" s="1261"/>
      <c r="L350" s="1261"/>
      <c r="M350" s="1261"/>
      <c r="N350" s="1261"/>
      <c r="O350" s="1261"/>
      <c r="P350" s="1261"/>
      <c r="Q350" s="1261"/>
      <c r="R350" s="1261"/>
      <c r="S350" s="1261"/>
      <c r="T350" s="1261"/>
      <c r="U350" s="1261"/>
      <c r="V350" s="1261"/>
      <c r="W350" s="1261"/>
      <c r="X350" s="1261"/>
      <c r="Y350" s="1261"/>
      <c r="Z350" s="1261"/>
      <c r="AA350" s="1261"/>
      <c r="AB350" s="1261"/>
      <c r="AC350" s="1261"/>
      <c r="AD350" s="1261"/>
      <c r="AE350" s="1261"/>
      <c r="AF350" s="1261"/>
      <c r="AG350" s="1261"/>
      <c r="AH350" s="1261"/>
      <c r="AI350" s="1261"/>
      <c r="AJ350" s="1261"/>
      <c r="AK350" s="1261"/>
    </row>
    <row r="351" spans="2:37">
      <c r="B351" s="2"/>
      <c r="F351" s="1261"/>
      <c r="G351" s="1261"/>
      <c r="H351" s="1261"/>
      <c r="I351" s="1261"/>
      <c r="J351" s="1261"/>
      <c r="K351" s="1261"/>
      <c r="L351" s="1261"/>
      <c r="M351" s="1261"/>
      <c r="N351" s="1261"/>
      <c r="O351" s="1261"/>
      <c r="P351" s="1261"/>
      <c r="Q351" s="1261"/>
      <c r="R351" s="1261"/>
      <c r="S351" s="1261"/>
      <c r="T351" s="1261"/>
      <c r="U351" s="1261"/>
      <c r="V351" s="1261"/>
      <c r="W351" s="1261"/>
      <c r="X351" s="1261"/>
      <c r="Y351" s="1261"/>
      <c r="Z351" s="1261"/>
      <c r="AA351" s="1261"/>
      <c r="AB351" s="1261"/>
      <c r="AC351" s="1261"/>
      <c r="AD351" s="1261"/>
      <c r="AE351" s="1261"/>
      <c r="AF351" s="1261"/>
      <c r="AG351" s="1261"/>
      <c r="AH351" s="1261"/>
      <c r="AI351" s="1261"/>
      <c r="AJ351" s="1261"/>
      <c r="AK351" s="1261"/>
    </row>
    <row r="352" spans="2:37">
      <c r="B352" s="2"/>
      <c r="F352" s="1261"/>
      <c r="G352" s="1261"/>
      <c r="H352" s="1261"/>
      <c r="I352" s="1261"/>
      <c r="J352" s="1261"/>
      <c r="K352" s="1261"/>
      <c r="L352" s="1261"/>
      <c r="M352" s="1261"/>
      <c r="N352" s="1261"/>
      <c r="O352" s="1261"/>
      <c r="P352" s="1261"/>
      <c r="Q352" s="1261"/>
      <c r="R352" s="1261"/>
      <c r="S352" s="1261"/>
      <c r="T352" s="1261"/>
      <c r="U352" s="1261"/>
      <c r="V352" s="1261"/>
      <c r="W352" s="1261"/>
      <c r="X352" s="1261"/>
      <c r="Y352" s="1261"/>
      <c r="Z352" s="1261"/>
      <c r="AA352" s="1261"/>
      <c r="AB352" s="1261"/>
      <c r="AC352" s="1261"/>
      <c r="AD352" s="1261"/>
      <c r="AE352" s="1261"/>
      <c r="AF352" s="1261"/>
      <c r="AG352" s="1261"/>
      <c r="AH352" s="1261"/>
      <c r="AI352" s="1261"/>
      <c r="AJ352" s="1261"/>
      <c r="AK352" s="1261"/>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5" t="s">
        <v>1225</v>
      </c>
      <c r="F365" s="1265"/>
      <c r="G365" s="1265"/>
      <c r="H365" s="1265"/>
      <c r="I365" s="1265"/>
      <c r="J365" s="1265"/>
      <c r="K365" s="1265"/>
      <c r="L365" s="1265"/>
      <c r="M365" s="1265"/>
      <c r="N365" s="1265"/>
      <c r="O365" s="1265"/>
      <c r="P365" s="1265"/>
      <c r="Q365" s="1265"/>
      <c r="R365" s="1265"/>
      <c r="S365" s="1265"/>
      <c r="T365" s="1265"/>
      <c r="U365" s="1265"/>
      <c r="V365" s="1265"/>
      <c r="W365" s="1265"/>
      <c r="X365" s="1265"/>
      <c r="Y365" s="1265"/>
      <c r="Z365" s="1265"/>
      <c r="AA365" s="1265"/>
      <c r="AB365" s="1265"/>
      <c r="AC365" s="1265"/>
      <c r="AD365" s="1265"/>
      <c r="AE365" s="1265"/>
      <c r="AF365" s="1265"/>
      <c r="AG365" s="1265"/>
      <c r="AH365" s="1265"/>
      <c r="AI365" s="1265"/>
      <c r="AJ365" s="1265"/>
      <c r="AK365" s="1265"/>
      <c r="AL365" s="1265"/>
    </row>
    <row r="366" spans="1:38">
      <c r="B366" s="2"/>
      <c r="E366" s="1265"/>
      <c r="F366" s="1265"/>
      <c r="G366" s="1265"/>
      <c r="H366" s="1265"/>
      <c r="I366" s="1265"/>
      <c r="J366" s="1265"/>
      <c r="K366" s="1265"/>
      <c r="L366" s="1265"/>
      <c r="M366" s="1265"/>
      <c r="N366" s="1265"/>
      <c r="O366" s="1265"/>
      <c r="P366" s="1265"/>
      <c r="Q366" s="1265"/>
      <c r="R366" s="1265"/>
      <c r="S366" s="1265"/>
      <c r="T366" s="1265"/>
      <c r="U366" s="1265"/>
      <c r="V366" s="1265"/>
      <c r="W366" s="1265"/>
      <c r="X366" s="1265"/>
      <c r="Y366" s="1265"/>
      <c r="Z366" s="1265"/>
      <c r="AA366" s="1265"/>
      <c r="AB366" s="1265"/>
      <c r="AC366" s="1265"/>
      <c r="AD366" s="1265"/>
      <c r="AE366" s="1265"/>
      <c r="AF366" s="1265"/>
      <c r="AG366" s="1265"/>
      <c r="AH366" s="1265"/>
      <c r="AI366" s="1265"/>
      <c r="AJ366" s="1265"/>
      <c r="AK366" s="1265"/>
      <c r="AL366" s="1265"/>
    </row>
    <row r="367" spans="1:38" s="1267" customFormat="1">
      <c r="A367"/>
      <c r="B367" s="2"/>
      <c r="C367"/>
      <c r="D367"/>
      <c r="E367" s="1266" t="s">
        <v>1257</v>
      </c>
    </row>
    <row r="368" spans="1:38" s="1267"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1258</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1" t="s">
        <v>1268</v>
      </c>
      <c r="G386" s="1261"/>
      <c r="H386" s="1261"/>
      <c r="I386" s="1261"/>
      <c r="J386" s="1261"/>
      <c r="K386" s="1261"/>
      <c r="L386" s="1261"/>
      <c r="M386" s="1261"/>
      <c r="N386" s="1261"/>
      <c r="O386" s="1261"/>
      <c r="P386" s="1261"/>
      <c r="Q386" s="1261"/>
      <c r="R386" s="1261"/>
      <c r="S386" s="1261"/>
      <c r="T386" s="1261"/>
      <c r="U386" s="1261"/>
      <c r="V386" s="1261"/>
      <c r="W386" s="1261"/>
      <c r="X386" s="1261"/>
      <c r="Y386" s="1261"/>
      <c r="Z386" s="1261"/>
      <c r="AA386" s="1261"/>
      <c r="AB386" s="1261"/>
      <c r="AC386" s="1261"/>
      <c r="AD386" s="1261"/>
      <c r="AE386" s="1261"/>
      <c r="AF386" s="1261"/>
      <c r="AG386" s="1261"/>
      <c r="AH386" s="1261"/>
      <c r="AI386" s="1261"/>
      <c r="AJ386" s="1261"/>
      <c r="AK386" s="1261"/>
    </row>
    <row r="387" spans="1:38">
      <c r="B387" s="2"/>
      <c r="E387" s="3"/>
      <c r="F387" s="1261"/>
      <c r="G387" s="1261"/>
      <c r="H387" s="1261"/>
      <c r="I387" s="1261"/>
      <c r="J387" s="1261"/>
      <c r="K387" s="1261"/>
      <c r="L387" s="1261"/>
      <c r="M387" s="1261"/>
      <c r="N387" s="1261"/>
      <c r="O387" s="1261"/>
      <c r="P387" s="1261"/>
      <c r="Q387" s="1261"/>
      <c r="R387" s="1261"/>
      <c r="S387" s="1261"/>
      <c r="T387" s="1261"/>
      <c r="U387" s="1261"/>
      <c r="V387" s="1261"/>
      <c r="W387" s="1261"/>
      <c r="X387" s="1261"/>
      <c r="Y387" s="1261"/>
      <c r="Z387" s="1261"/>
      <c r="AA387" s="1261"/>
      <c r="AB387" s="1261"/>
      <c r="AC387" s="1261"/>
      <c r="AD387" s="1261"/>
      <c r="AE387" s="1261"/>
      <c r="AF387" s="1261"/>
      <c r="AG387" s="1261"/>
      <c r="AH387" s="1261"/>
      <c r="AI387" s="1261"/>
      <c r="AJ387" s="1261"/>
      <c r="AK387" s="1261"/>
    </row>
    <row r="388" spans="1:38">
      <c r="B388" s="2"/>
      <c r="E388" s="3"/>
      <c r="F388" s="1261"/>
      <c r="G388" s="1261"/>
      <c r="H388" s="1261"/>
      <c r="I388" s="1261"/>
      <c r="J388" s="1261"/>
      <c r="K388" s="1261"/>
      <c r="L388" s="1261"/>
      <c r="M388" s="1261"/>
      <c r="N388" s="1261"/>
      <c r="O388" s="1261"/>
      <c r="P388" s="1261"/>
      <c r="Q388" s="1261"/>
      <c r="R388" s="1261"/>
      <c r="S388" s="1261"/>
      <c r="T388" s="1261"/>
      <c r="U388" s="1261"/>
      <c r="V388" s="1261"/>
      <c r="W388" s="1261"/>
      <c r="X388" s="1261"/>
      <c r="Y388" s="1261"/>
      <c r="Z388" s="1261"/>
      <c r="AA388" s="1261"/>
      <c r="AB388" s="1261"/>
      <c r="AC388" s="1261"/>
      <c r="AD388" s="1261"/>
      <c r="AE388" s="1261"/>
      <c r="AF388" s="1261"/>
      <c r="AG388" s="1261"/>
      <c r="AH388" s="1261"/>
      <c r="AI388" s="1261"/>
      <c r="AJ388" s="1261"/>
      <c r="AK388" s="1261"/>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L18" sqref="L18"/>
    </sheetView>
  </sheetViews>
  <sheetFormatPr defaultColWidth="9.140625" defaultRowHeight="14.25"/>
  <cols>
    <col min="1" max="1" width="2.42578125" style="1043" customWidth="1"/>
    <col min="2" max="9" width="14.7109375" style="1043" customWidth="1"/>
    <col min="10" max="10" width="2.28515625" style="1043" customWidth="1"/>
    <col min="11" max="11" width="11.85546875" style="1044" customWidth="1"/>
    <col min="12" max="12" width="10.7109375" style="1043" customWidth="1"/>
    <col min="13" max="13" width="10.42578125" style="1043" customWidth="1"/>
    <col min="14" max="14" width="10.85546875" style="1043" customWidth="1"/>
    <col min="15" max="18" width="9.140625" style="1043"/>
    <col min="19" max="19" width="9.42578125" style="1043" bestFit="1" customWidth="1"/>
    <col min="20" max="16384" width="9.140625" style="1043"/>
  </cols>
  <sheetData>
    <row r="1" spans="1:13" ht="30" customHeight="1">
      <c r="A1" s="2662" t="s">
        <v>1584</v>
      </c>
      <c r="B1" s="2662"/>
      <c r="C1" s="2662"/>
      <c r="D1" s="2662"/>
      <c r="E1" s="2662"/>
      <c r="F1" s="2662"/>
      <c r="G1" s="2662"/>
      <c r="H1" s="2662"/>
      <c r="I1" s="2662"/>
      <c r="J1" s="2662"/>
    </row>
    <row r="2" spans="1:13" ht="15" customHeight="1" thickBot="1">
      <c r="A2" s="1045"/>
      <c r="B2" s="1045"/>
      <c r="I2" s="1046"/>
      <c r="K2" s="1047"/>
    </row>
    <row r="3" spans="1:13" s="1050" customFormat="1" ht="20.100000000000001" customHeight="1">
      <c r="A3" s="1099"/>
      <c r="B3" s="1100"/>
      <c r="C3" s="1101"/>
      <c r="D3" s="1106"/>
      <c r="E3" s="1101"/>
      <c r="F3" s="1102" t="s">
        <v>1989</v>
      </c>
      <c r="G3" s="1101"/>
      <c r="H3" s="1103">
        <f>E18</f>
        <v>83561600</v>
      </c>
      <c r="I3" s="1104"/>
    </row>
    <row r="4" spans="1:13" s="1050" customFormat="1" ht="20.100000000000001" customHeight="1">
      <c r="B4" s="1093"/>
      <c r="D4" s="1107"/>
      <c r="F4" s="1091" t="s">
        <v>1991</v>
      </c>
      <c r="G4" s="1090" t="s">
        <v>1990</v>
      </c>
      <c r="H4" s="1092">
        <f>I18</f>
        <v>51125204.248366013</v>
      </c>
      <c r="I4" s="1094"/>
      <c r="K4" s="1054"/>
    </row>
    <row r="5" spans="1:13" s="1050" customFormat="1" ht="20.100000000000001" customHeight="1" thickBot="1">
      <c r="B5" s="1095"/>
      <c r="C5" s="1096"/>
      <c r="D5" s="1108"/>
      <c r="E5" s="1097"/>
      <c r="F5" s="1108" t="s">
        <v>1941</v>
      </c>
      <c r="G5" s="1109"/>
      <c r="H5" s="1105">
        <f>IFERROR(H3/H4,0)</f>
        <v>1.6344501939602651</v>
      </c>
      <c r="I5" s="1098"/>
      <c r="K5" s="1054"/>
    </row>
    <row r="6" spans="1:13" s="1050" customFormat="1" ht="15" customHeight="1">
      <c r="B6" s="1051"/>
      <c r="C6" s="1052"/>
      <c r="F6" s="1053"/>
      <c r="K6" s="1054"/>
    </row>
    <row r="7" spans="1:13" s="1050" customFormat="1" ht="15" customHeight="1">
      <c r="E7" s="1055"/>
      <c r="F7" s="1053"/>
      <c r="K7" s="1056"/>
    </row>
    <row r="8" spans="1:13" s="1050" customFormat="1" ht="15" customHeight="1">
      <c r="A8" s="1057"/>
      <c r="B8" s="2665" t="s">
        <v>1939</v>
      </c>
      <c r="C8" s="2666"/>
      <c r="D8" s="2666"/>
      <c r="E8" s="2667"/>
      <c r="G8" s="2668" t="s">
        <v>1940</v>
      </c>
      <c r="H8" s="2669"/>
      <c r="I8" s="2670"/>
      <c r="K8" s="1056"/>
    </row>
    <row r="9" spans="1:13" ht="15" customHeight="1">
      <c r="A9" s="1045"/>
      <c r="B9" s="2663" t="s">
        <v>1973</v>
      </c>
      <c r="C9" s="2663"/>
      <c r="D9" s="2663"/>
      <c r="E9" s="1058">
        <f>G33</f>
        <v>19875000</v>
      </c>
      <c r="G9" s="2671" t="s">
        <v>1971</v>
      </c>
      <c r="H9" s="2671"/>
      <c r="I9" s="1059">
        <f>SUMIF(Application!M554:M565,"Loan, Tax-Exempt",Application!AM554:AM565)</f>
        <v>57500000</v>
      </c>
      <c r="K9" s="1060"/>
      <c r="M9" s="1061"/>
    </row>
    <row r="10" spans="1:13" ht="15" customHeight="1" thickBot="1">
      <c r="A10" s="1045"/>
      <c r="B10" s="2663" t="s">
        <v>1974</v>
      </c>
      <c r="C10" s="2663"/>
      <c r="D10" s="2663"/>
      <c r="E10" s="1059">
        <f>G47</f>
        <v>27449100.000000004</v>
      </c>
      <c r="G10" s="2675" t="s">
        <v>1942</v>
      </c>
      <c r="H10" s="2675"/>
      <c r="I10" s="1139">
        <f>'Basis &amp; Credits'!AB78</f>
        <v>0</v>
      </c>
      <c r="M10" s="1061"/>
    </row>
    <row r="11" spans="1:13" ht="15" customHeight="1">
      <c r="A11" s="1045"/>
      <c r="B11" s="2679" t="s">
        <v>2263</v>
      </c>
      <c r="C11" s="2680"/>
      <c r="D11" s="2681"/>
      <c r="E11" s="1059">
        <f>SUM(E12,E13)</f>
        <v>860000</v>
      </c>
      <c r="G11" s="2678" t="s">
        <v>1982</v>
      </c>
      <c r="H11" s="2678"/>
      <c r="I11" s="1138">
        <f>I9+I10</f>
        <v>57500000</v>
      </c>
      <c r="M11" s="1061"/>
    </row>
    <row r="12" spans="1:13" ht="15" customHeight="1">
      <c r="A12" s="1062"/>
      <c r="B12" s="2664" t="s">
        <v>2265</v>
      </c>
      <c r="C12" s="2664"/>
      <c r="D12" s="2664"/>
      <c r="E12" s="1164">
        <f>G56</f>
        <v>0</v>
      </c>
      <c r="M12" s="1061"/>
    </row>
    <row r="13" spans="1:13" ht="15" customHeight="1">
      <c r="A13" s="1048"/>
      <c r="B13" s="2664" t="s">
        <v>2266</v>
      </c>
      <c r="C13" s="2664"/>
      <c r="D13" s="2664"/>
      <c r="E13" s="1164">
        <f>G65</f>
        <v>860000</v>
      </c>
      <c r="G13" s="2668" t="s">
        <v>2005</v>
      </c>
      <c r="H13" s="2669"/>
      <c r="I13" s="2670"/>
      <c r="M13" s="1061"/>
    </row>
    <row r="14" spans="1:13" ht="15" customHeight="1">
      <c r="A14" s="1048"/>
      <c r="B14" s="2679" t="s">
        <v>2264</v>
      </c>
      <c r="C14" s="2680"/>
      <c r="D14" s="2681"/>
      <c r="E14" s="1166">
        <f>MAX(E15,E16)+E17</f>
        <v>35377500</v>
      </c>
      <c r="G14" s="2671" t="s">
        <v>139</v>
      </c>
      <c r="H14" s="2671"/>
      <c r="I14" s="1063">
        <f>15%*(AND(G120="Yes",G122&lt;&gt;""))</f>
        <v>0</v>
      </c>
      <c r="M14" s="1061"/>
    </row>
    <row r="15" spans="1:13" ht="15" customHeight="1">
      <c r="A15" s="1048"/>
      <c r="B15" s="2682" t="s">
        <v>2270</v>
      </c>
      <c r="C15" s="2683"/>
      <c r="D15" s="2684"/>
      <c r="E15" s="1164">
        <f>G80</f>
        <v>0</v>
      </c>
      <c r="G15" s="1136" t="s">
        <v>1983</v>
      </c>
      <c r="H15" s="1136"/>
      <c r="I15" s="1063">
        <f>IF(Application!AJ1032&gt;0,10%,IF(Application!AJ1036&gt;0,5%,0))</f>
        <v>0.05</v>
      </c>
      <c r="M15" s="1061"/>
    </row>
    <row r="16" spans="1:13" ht="15" customHeight="1">
      <c r="A16" s="1048"/>
      <c r="B16" s="2682" t="s">
        <v>2269</v>
      </c>
      <c r="C16" s="2683"/>
      <c r="D16" s="2684"/>
      <c r="E16" s="1164">
        <f>G90</f>
        <v>7950000</v>
      </c>
      <c r="G16" s="2671" t="s">
        <v>1984</v>
      </c>
      <c r="H16" s="2671"/>
      <c r="I16" s="1063">
        <f>G132</f>
        <v>6.0866013071895424E-2</v>
      </c>
    </row>
    <row r="17" spans="1:21" ht="15" customHeight="1" thickBot="1">
      <c r="A17" s="1048"/>
      <c r="B17" s="2682" t="s">
        <v>2268</v>
      </c>
      <c r="C17" s="2683"/>
      <c r="D17" s="2684"/>
      <c r="E17" s="1164">
        <f>G115</f>
        <v>27427500</v>
      </c>
      <c r="G17" s="2671" t="s">
        <v>2278</v>
      </c>
      <c r="H17" s="2671"/>
      <c r="I17" s="1063">
        <f>IF(AND(G139="Yes",OR(G136,G137)),IF(G143&gt;15%,15%,G143),0)</f>
        <v>0</v>
      </c>
    </row>
    <row r="18" spans="1:21" ht="15" customHeight="1">
      <c r="A18" s="1045"/>
      <c r="B18" s="2674" t="s">
        <v>1938</v>
      </c>
      <c r="C18" s="2674"/>
      <c r="D18" s="2674"/>
      <c r="E18" s="1110">
        <f>SUM(E9:E11,E14)</f>
        <v>83561600</v>
      </c>
      <c r="G18" s="1137" t="s">
        <v>1972</v>
      </c>
      <c r="H18" s="1137"/>
      <c r="I18" s="1111">
        <f>I11-((I11*I14)+(I11*I15)+(I11*I16)+(I11*I17))</f>
        <v>51125204.248366013</v>
      </c>
      <c r="M18" s="1064">
        <f>SUM(Cdlac[Quantity])</f>
        <v>391</v>
      </c>
      <c r="O18" s="1083" t="s">
        <v>582</v>
      </c>
      <c r="P18" s="1043">
        <f>MATCH(Application!T189,Application!CB160:CB217,0)</f>
        <v>19</v>
      </c>
      <c r="T18" s="1064">
        <f>SUM(Cdlac[Population])</f>
        <v>0</v>
      </c>
    </row>
    <row r="19" spans="1:21" ht="15" customHeight="1">
      <c r="A19" s="1045"/>
      <c r="B19" s="1045"/>
      <c r="C19" s="1045"/>
      <c r="D19" s="1045"/>
      <c r="E19" s="1045"/>
      <c r="L19" s="1043" t="s">
        <v>1934</v>
      </c>
      <c r="M19" s="1043" t="s">
        <v>1933</v>
      </c>
      <c r="N19" s="1043" t="s">
        <v>1945</v>
      </c>
      <c r="O19" s="1043" t="s">
        <v>1946</v>
      </c>
      <c r="P19" s="1043" t="s">
        <v>1935</v>
      </c>
      <c r="Q19" s="1043" t="s">
        <v>2261</v>
      </c>
      <c r="R19" s="1043" t="s">
        <v>1936</v>
      </c>
      <c r="S19" s="1043" t="s">
        <v>1947</v>
      </c>
      <c r="T19" s="1043" t="s">
        <v>1953</v>
      </c>
      <c r="U19" s="1043" t="s">
        <v>385</v>
      </c>
    </row>
    <row r="20" spans="1:21" ht="15" customHeight="1">
      <c r="B20" s="1065" t="str">
        <f>B9</f>
        <v>A. Unit Production Benefit</v>
      </c>
      <c r="C20" s="1066"/>
      <c r="D20" s="1066"/>
      <c r="E20" s="1066"/>
      <c r="F20" s="1066"/>
      <c r="G20" s="1066"/>
      <c r="H20" s="1066"/>
      <c r="I20" s="1067"/>
      <c r="L20" s="1043">
        <f>IFERROR(MIN(4,MATCH(Application!B718,UnitSizes,0)-1),"")</f>
        <v>1</v>
      </c>
      <c r="M20" s="1064">
        <f>Application!G718</f>
        <v>43</v>
      </c>
      <c r="N20" s="1070">
        <f>Application!AC718</f>
        <v>0.3</v>
      </c>
      <c r="O20" s="1070">
        <f>IF(Cdlac[[#This Row],[Quantity]]&gt;0,IF(Cdlac[[#This Row],[Federal]],30%,IF(AND(OR(NOT($G$38),$G$38=""),$G$43),40%,Cdlac[[#This Row],[iAMI]])),"")</f>
        <v>0.3</v>
      </c>
      <c r="P20" s="1064" cm="1">
        <f t="array" ref="P20">IF(Cdlac[[#This Row],[Quantity]]&gt;0,INDEX(TcacRents,$P$18,Cdlac[[#This Row],[Bedrooms]]+1)*Cdlac[[#This Row],[AMI]],"")</f>
        <v>852</v>
      </c>
      <c r="Q20" s="1163"/>
      <c r="R20" s="1064" cm="1">
        <f t="array" ref="R20">IF(Cdlac[[#This Row],[Quantity]]&gt;0,INDEX(HudFmrs,$P$18,Cdlac[[#This Row],[Bedrooms]]+1),"")</f>
        <v>2081</v>
      </c>
      <c r="S20" s="1064">
        <f>IF(Cdlac[[#This Row],[Quantity]]&gt;0,MAX(0,Cdlac[[#This Row],[Fair Market Rent]]-IF(AND($G$37,$G$38,$G$38&lt;&gt;"",NOT(Cdlac[[#This Row],[Federal]]),Cdlac[[#This Row],[Preservation Rent]]&lt;&gt;""),Cdlac[[#This Row],[Preservation Rent]],Cdlac[[#This Row],[Restricted Rent]])),"")</f>
        <v>1229</v>
      </c>
      <c r="T20" s="1043">
        <f>IF(Cdlac[[#This Row],[Quantity]]&gt;0,AND(Application!AK718&lt;&gt;"N/A",Application!AK718&lt;&gt;"")*Cdlac[[#This Row],[Quantity]],"")</f>
        <v>0</v>
      </c>
      <c r="U20" s="1043" t="b">
        <f>AND('Subsidy Contract Calculation'!F4&gt;0,OR('Subsidy Contract Calculation'!C4="Federal",'Subsidy Contract Calculation'!C4="Local - Approved by ED"),Cdlac[[#This Row],[Quantity]]&gt;0)</f>
        <v>0</v>
      </c>
    </row>
    <row r="21" spans="1:21" ht="15" customHeight="1">
      <c r="A21" s="1045"/>
      <c r="B21" s="1045"/>
      <c r="I21" s="1068"/>
      <c r="L21" s="1043">
        <f>IFERROR(MIN(4,MATCH(Application!B719,UnitSizes,0)-1),"")</f>
        <v>1</v>
      </c>
      <c r="M21" s="1064">
        <f>Application!G719</f>
        <v>33</v>
      </c>
      <c r="N21" s="1070">
        <f>Application!AC719</f>
        <v>0.5</v>
      </c>
      <c r="O21" s="1070">
        <f>IF(Cdlac[[#This Row],[Quantity]]&gt;0,IF(Cdlac[[#This Row],[Federal]],30%,IF(AND(OR(NOT($G$38),$G$38=""),$G$43),40%,Cdlac[[#This Row],[iAMI]])),"")</f>
        <v>0.5</v>
      </c>
      <c r="P21" s="1064" cm="1">
        <f t="array" ref="P21">IF(Cdlac[[#This Row],[Quantity]]&gt;0,INDEX(TcacRents,$P$18,Cdlac[[#This Row],[Bedrooms]]+1)*Cdlac[[#This Row],[AMI]],"")</f>
        <v>1420</v>
      </c>
      <c r="Q21" s="1163"/>
      <c r="R21" s="1064" cm="1">
        <f t="array" ref="R21">IF(Cdlac[[#This Row],[Quantity]]&gt;0,INDEX(HudFmrs,$P$18,Cdlac[[#This Row],[Bedrooms]]+1),"")</f>
        <v>2081</v>
      </c>
      <c r="S21" s="1064">
        <f>IF(Cdlac[[#This Row],[Quantity]]&gt;0,MAX(0,Cdlac[[#This Row],[Fair Market Rent]]-IF(AND($G$37,$G$38,$G$38&lt;&gt;"",NOT(Cdlac[[#This Row],[Federal]]),Cdlac[[#This Row],[Preservation Rent]]&lt;&gt;""),Cdlac[[#This Row],[Preservation Rent]],Cdlac[[#This Row],[Restricted Rent]])),"")</f>
        <v>661</v>
      </c>
      <c r="T21" s="1043">
        <f>IF(Cdlac[[#This Row],[Quantity]]&gt;0,AND(Application!AK719&lt;&gt;"N/A",Application!AK719&lt;&gt;"")*Cdlac[[#This Row],[Quantity]],"")</f>
        <v>0</v>
      </c>
      <c r="U21" s="1043" t="b">
        <f>AND('Subsidy Contract Calculation'!F5&gt;0,OR('Subsidy Contract Calculation'!C5="Federal",'Subsidy Contract Calculation'!C5="Local - Approved by ED"),Cdlac[[#This Row],[Quantity]]&gt;0)</f>
        <v>0</v>
      </c>
    </row>
    <row r="22" spans="1:21" ht="15" customHeight="1">
      <c r="A22" s="1048"/>
      <c r="C22" s="2672" t="s">
        <v>1986</v>
      </c>
      <c r="D22" s="2672" t="s">
        <v>1987</v>
      </c>
      <c r="E22" s="2672" t="s">
        <v>1988</v>
      </c>
      <c r="F22" s="2672" t="s">
        <v>2609</v>
      </c>
      <c r="G22" s="2672" t="s">
        <v>1985</v>
      </c>
      <c r="H22" s="1069"/>
      <c r="I22" s="1068"/>
      <c r="L22" s="1043">
        <f>IFERROR(MIN(4,MATCH(Application!B720,UnitSizes,0)-1),"")</f>
        <v>1</v>
      </c>
      <c r="M22" s="1064">
        <f>Application!G720</f>
        <v>131</v>
      </c>
      <c r="N22" s="1070">
        <f>Application!AC720</f>
        <v>0.6</v>
      </c>
      <c r="O22" s="1070">
        <f>IF(Cdlac[[#This Row],[Quantity]]&gt;0,IF(Cdlac[[#This Row],[Federal]],30%,IF(AND(OR(NOT($G$38),$G$38=""),$G$43),40%,Cdlac[[#This Row],[iAMI]])),"")</f>
        <v>0.6</v>
      </c>
      <c r="P22" s="1064" cm="1">
        <f t="array" ref="P22">IF(Cdlac[[#This Row],[Quantity]]&gt;0,INDEX(TcacRents,$P$18,Cdlac[[#This Row],[Bedrooms]]+1)*Cdlac[[#This Row],[AMI]],"")</f>
        <v>1704</v>
      </c>
      <c r="Q22" s="1163"/>
      <c r="R22" s="1064" cm="1">
        <f t="array" ref="R22">IF(Cdlac[[#This Row],[Quantity]]&gt;0,INDEX(HudFmrs,$P$18,Cdlac[[#This Row],[Bedrooms]]+1),"")</f>
        <v>2081</v>
      </c>
      <c r="S22" s="1064">
        <f>IF(Cdlac[[#This Row],[Quantity]]&gt;0,MAX(0,Cdlac[[#This Row],[Fair Market Rent]]-IF(AND($G$37,$G$38,$G$38&lt;&gt;"",NOT(Cdlac[[#This Row],[Federal]]),Cdlac[[#This Row],[Preservation Rent]]&lt;&gt;""),Cdlac[[#This Row],[Preservation Rent]],Cdlac[[#This Row],[Restricted Rent]])),"")</f>
        <v>377</v>
      </c>
      <c r="T22" s="1043">
        <f>IF(Cdlac[[#This Row],[Quantity]]&gt;0,AND(Application!AK720&lt;&gt;"N/A",Application!AK720&lt;&gt;"")*Cdlac[[#This Row],[Quantity]],"")</f>
        <v>0</v>
      </c>
      <c r="U22" s="1043" t="b">
        <f>AND('Subsidy Contract Calculation'!F6&gt;0,OR('Subsidy Contract Calculation'!C6="Federal",'Subsidy Contract Calculation'!C6="Local - Approved by ED"),Cdlac[[#This Row],[Quantity]]&gt;0)</f>
        <v>0</v>
      </c>
    </row>
    <row r="23" spans="1:21" ht="15" customHeight="1">
      <c r="A23" s="1048"/>
      <c r="C23" s="2673"/>
      <c r="D23" s="2673"/>
      <c r="E23" s="2673"/>
      <c r="F23" s="2673"/>
      <c r="G23" s="2673"/>
      <c r="H23" s="1069"/>
      <c r="I23" s="1068"/>
      <c r="L23" s="1043">
        <f>IFERROR(MIN(4,MATCH(Application!B721,UnitSizes,0)-1),"")</f>
        <v>1</v>
      </c>
      <c r="M23" s="1064">
        <f>Application!G721</f>
        <v>158</v>
      </c>
      <c r="N23" s="1070">
        <f>Application!AC721</f>
        <v>0.7</v>
      </c>
      <c r="O23" s="1070">
        <f>IF(Cdlac[[#This Row],[Quantity]]&gt;0,IF(Cdlac[[#This Row],[Federal]],30%,IF(AND(OR(NOT($G$38),$G$38=""),$G$43),40%,Cdlac[[#This Row],[iAMI]])),"")</f>
        <v>0.7</v>
      </c>
      <c r="P23" s="1064" cm="1">
        <f t="array" ref="P23">IF(Cdlac[[#This Row],[Quantity]]&gt;0,INDEX(TcacRents,$P$18,Cdlac[[#This Row],[Bedrooms]]+1)*Cdlac[[#This Row],[AMI]],"")</f>
        <v>1987.9999999999998</v>
      </c>
      <c r="Q23" s="1163"/>
      <c r="R23" s="1064" cm="1">
        <f t="array" ref="R23">IF(Cdlac[[#This Row],[Quantity]]&gt;0,INDEX(HudFmrs,$P$18,Cdlac[[#This Row],[Bedrooms]]+1),"")</f>
        <v>2081</v>
      </c>
      <c r="S23" s="1064">
        <f>IF(Cdlac[[#This Row],[Quantity]]&gt;0,MAX(0,Cdlac[[#This Row],[Fair Market Rent]]-IF(AND($G$37,$G$38,$G$38&lt;&gt;"",NOT(Cdlac[[#This Row],[Federal]]),Cdlac[[#This Row],[Preservation Rent]]&lt;&gt;""),Cdlac[[#This Row],[Preservation Rent]],Cdlac[[#This Row],[Restricted Rent]])),"")</f>
        <v>93.000000000000227</v>
      </c>
      <c r="T23" s="1043">
        <f>IF(Cdlac[[#This Row],[Quantity]]&gt;0,AND(Application!AK721&lt;&gt;"N/A",Application!AK721&lt;&gt;"")*Cdlac[[#This Row],[Quantity]],"")</f>
        <v>0</v>
      </c>
      <c r="U23" s="1043" t="b">
        <f>AND('Subsidy Contract Calculation'!F7&gt;0,OR('Subsidy Contract Calculation'!C7="Federal",'Subsidy Contract Calculation'!C7="Local - Approved by ED"),Cdlac[[#This Row],[Quantity]]&gt;0)</f>
        <v>0</v>
      </c>
    </row>
    <row r="24" spans="1:21" ht="15" customHeight="1">
      <c r="C24" s="1071">
        <v>0</v>
      </c>
      <c r="D24" s="1072">
        <v>0.9</v>
      </c>
      <c r="E24" s="1071">
        <f>SUMIFS(Cdlac[Quantity],Cdlac[Bedrooms],C24)</f>
        <v>0</v>
      </c>
      <c r="F24" s="1071">
        <f>E24</f>
        <v>0</v>
      </c>
      <c r="G24" s="1071">
        <f>D24*F24</f>
        <v>0</v>
      </c>
      <c r="L24" s="1043">
        <f>IFERROR(MIN(4,MATCH(Application!B722,UnitSizes,0)-1),"")</f>
        <v>2</v>
      </c>
      <c r="M24" s="1064">
        <f>Application!G722</f>
        <v>3</v>
      </c>
      <c r="N24" s="1070">
        <f>Application!AC722</f>
        <v>0.5</v>
      </c>
      <c r="O24" s="1070">
        <f>IF(Cdlac[[#This Row],[Quantity]]&gt;0,IF(Cdlac[[#This Row],[Federal]],30%,IF(AND(OR(NOT($G$38),$G$38=""),$G$43),40%,Cdlac[[#This Row],[iAMI]])),"")</f>
        <v>0.5</v>
      </c>
      <c r="P24" s="1064" cm="1">
        <f t="array" ref="P24">IF(Cdlac[[#This Row],[Quantity]]&gt;0,INDEX(TcacRents,$P$18,Cdlac[[#This Row],[Bedrooms]]+1)*Cdlac[[#This Row],[AMI]],"")</f>
        <v>1703</v>
      </c>
      <c r="Q24" s="1163"/>
      <c r="R24" s="1064" cm="1">
        <f t="array" ref="R24">IF(Cdlac[[#This Row],[Quantity]]&gt;0,INDEX(HudFmrs,$P$18,Cdlac[[#This Row],[Bedrooms]]+1),"")</f>
        <v>2625</v>
      </c>
      <c r="S24" s="1064">
        <f>IF(Cdlac[[#This Row],[Quantity]]&gt;0,MAX(0,Cdlac[[#This Row],[Fair Market Rent]]-IF(AND($G$37,$G$38,$G$38&lt;&gt;"",NOT(Cdlac[[#This Row],[Federal]]),Cdlac[[#This Row],[Preservation Rent]]&lt;&gt;""),Cdlac[[#This Row],[Preservation Rent]],Cdlac[[#This Row],[Restricted Rent]])),"")</f>
        <v>922</v>
      </c>
      <c r="T24" s="1043">
        <f>IF(Cdlac[[#This Row],[Quantity]]&gt;0,AND(Application!AK722&lt;&gt;"N/A",Application!AK722&lt;&gt;"")*Cdlac[[#This Row],[Quantity]],"")</f>
        <v>0</v>
      </c>
      <c r="U24" s="1043" t="b">
        <f>AND('Subsidy Contract Calculation'!F8&gt;0,OR('Subsidy Contract Calculation'!C8="Federal",'Subsidy Contract Calculation'!C8="Local - Approved by ED"),Cdlac[[#This Row],[Quantity]]&gt;0)</f>
        <v>0</v>
      </c>
    </row>
    <row r="25" spans="1:21" ht="15" customHeight="1">
      <c r="C25" s="1071">
        <v>1</v>
      </c>
      <c r="D25" s="1072">
        <v>1</v>
      </c>
      <c r="E25" s="1071">
        <f>SUMIFS(Cdlac[Quantity],Cdlac[Bedrooms],C25)</f>
        <v>365</v>
      </c>
      <c r="F25" s="1071">
        <f>E25</f>
        <v>365</v>
      </c>
      <c r="G25" s="1071">
        <f>D25*F25</f>
        <v>365</v>
      </c>
      <c r="L25" s="1043">
        <f>IFERROR(MIN(4,MATCH(Application!B723,UnitSizes,0)-1),"")</f>
        <v>2</v>
      </c>
      <c r="M25" s="1064">
        <f>Application!G723</f>
        <v>16</v>
      </c>
      <c r="N25" s="1070">
        <f>Application!AC723</f>
        <v>0.6</v>
      </c>
      <c r="O25" s="1070">
        <f>IF(Cdlac[[#This Row],[Quantity]]&gt;0,IF(Cdlac[[#This Row],[Federal]],30%,IF(AND(OR(NOT($G$38),$G$38=""),$G$43),40%,Cdlac[[#This Row],[iAMI]])),"")</f>
        <v>0.6</v>
      </c>
      <c r="P25" s="1064" cm="1">
        <f t="array" ref="P25">IF(Cdlac[[#This Row],[Quantity]]&gt;0,INDEX(TcacRents,$P$18,Cdlac[[#This Row],[Bedrooms]]+1)*Cdlac[[#This Row],[AMI]],"")</f>
        <v>2043.6</v>
      </c>
      <c r="Q25" s="1163"/>
      <c r="R25" s="1064" cm="1">
        <f t="array" ref="R25">IF(Cdlac[[#This Row],[Quantity]]&gt;0,INDEX(HudFmrs,$P$18,Cdlac[[#This Row],[Bedrooms]]+1),"")</f>
        <v>2625</v>
      </c>
      <c r="S25" s="1064">
        <f>IF(Cdlac[[#This Row],[Quantity]]&gt;0,MAX(0,Cdlac[[#This Row],[Fair Market Rent]]-IF(AND($G$37,$G$38,$G$38&lt;&gt;"",NOT(Cdlac[[#This Row],[Federal]]),Cdlac[[#This Row],[Preservation Rent]]&lt;&gt;""),Cdlac[[#This Row],[Preservation Rent]],Cdlac[[#This Row],[Restricted Rent]])),"")</f>
        <v>581.40000000000009</v>
      </c>
      <c r="T25" s="1043">
        <f>IF(Cdlac[[#This Row],[Quantity]]&gt;0,AND(Application!AK723&lt;&gt;"N/A",Application!AK723&lt;&gt;"")*Cdlac[[#This Row],[Quantity]],"")</f>
        <v>0</v>
      </c>
      <c r="U25" s="1043" t="b">
        <f>AND('Subsidy Contract Calculation'!F9&gt;0,OR('Subsidy Contract Calculation'!C9="Federal",'Subsidy Contract Calculation'!C9="Local - Approved by ED"),Cdlac[[#This Row],[Quantity]]&gt;0)</f>
        <v>0</v>
      </c>
    </row>
    <row r="26" spans="1:21" ht="15" customHeight="1">
      <c r="A26" s="1073"/>
      <c r="C26" s="1074">
        <v>2</v>
      </c>
      <c r="D26" s="1072">
        <v>1.25</v>
      </c>
      <c r="E26" s="1071">
        <f>SUMIFS(Cdlac[Quantity],Cdlac[Bedrooms],C26)</f>
        <v>26</v>
      </c>
      <c r="F26" s="1074">
        <f>SUM(E26:E28)-SUM(F27:F28)</f>
        <v>26</v>
      </c>
      <c r="G26" s="1071">
        <f>D26*F26</f>
        <v>32.5</v>
      </c>
      <c r="H26" s="1073"/>
      <c r="I26" s="1073"/>
      <c r="L26" s="1043">
        <f>IFERROR(MIN(4,MATCH(Application!B724,UnitSizes,0)-1),"")</f>
        <v>2</v>
      </c>
      <c r="M26" s="1064">
        <f>Application!G724</f>
        <v>7</v>
      </c>
      <c r="N26" s="1070">
        <f>Application!AC724</f>
        <v>0.7</v>
      </c>
      <c r="O26" s="1070">
        <f>IF(Cdlac[[#This Row],[Quantity]]&gt;0,IF(Cdlac[[#This Row],[Federal]],30%,IF(AND(OR(NOT($G$38),$G$38=""),$G$43),40%,Cdlac[[#This Row],[iAMI]])),"")</f>
        <v>0.7</v>
      </c>
      <c r="P26" s="1064" cm="1">
        <f t="array" ref="P26">IF(Cdlac[[#This Row],[Quantity]]&gt;0,INDEX(TcacRents,$P$18,Cdlac[[#This Row],[Bedrooms]]+1)*Cdlac[[#This Row],[AMI]],"")</f>
        <v>2384.1999999999998</v>
      </c>
      <c r="Q26" s="1163"/>
      <c r="R26" s="1064" cm="1">
        <f t="array" ref="R26">IF(Cdlac[[#This Row],[Quantity]]&gt;0,INDEX(HudFmrs,$P$18,Cdlac[[#This Row],[Bedrooms]]+1),"")</f>
        <v>2625</v>
      </c>
      <c r="S26" s="1064">
        <f>IF(Cdlac[[#This Row],[Quantity]]&gt;0,MAX(0,Cdlac[[#This Row],[Fair Market Rent]]-IF(AND($G$37,$G$38,$G$38&lt;&gt;"",NOT(Cdlac[[#This Row],[Federal]]),Cdlac[[#This Row],[Preservation Rent]]&lt;&gt;""),Cdlac[[#This Row],[Preservation Rent]],Cdlac[[#This Row],[Restricted Rent]])),"")</f>
        <v>240.80000000000018</v>
      </c>
      <c r="T26" s="1043">
        <f>IF(Cdlac[[#This Row],[Quantity]]&gt;0,AND(Application!AK724&lt;&gt;"N/A",Application!AK724&lt;&gt;"")*Cdlac[[#This Row],[Quantity]],"")</f>
        <v>0</v>
      </c>
      <c r="U26" s="1043" t="b">
        <f>AND('Subsidy Contract Calculation'!F10&gt;0,OR('Subsidy Contract Calculation'!C10="Federal",'Subsidy Contract Calculation'!C10="Local - Approved by ED"),Cdlac[[#This Row],[Quantity]]&gt;0)</f>
        <v>0</v>
      </c>
    </row>
    <row r="27" spans="1:21" ht="15" customHeight="1">
      <c r="A27" s="1073"/>
      <c r="C27" s="1074">
        <v>3</v>
      </c>
      <c r="D27" s="1072">
        <f>1.5+0.25*0</f>
        <v>1.5</v>
      </c>
      <c r="E27" s="1071">
        <f>SUMIFS(Cdlac[Quantity],Cdlac[Bedrooms],C27)</f>
        <v>0</v>
      </c>
      <c r="F27" s="1074">
        <f>MIN(E27,ROUNDDOWN(E29*30%,0))</f>
        <v>0</v>
      </c>
      <c r="G27" s="1071">
        <f>D27*F27</f>
        <v>0</v>
      </c>
      <c r="H27" s="1073"/>
      <c r="I27" s="1073"/>
      <c r="L27" s="1043" t="str">
        <f>IFERROR(MIN(4,MATCH(Application!B725,UnitSizes,0)-1),"")</f>
        <v/>
      </c>
      <c r="M27" s="1064">
        <f>Application!G725</f>
        <v>0</v>
      </c>
      <c r="N27" s="1070">
        <f>Application!AC725</f>
        <v>0</v>
      </c>
      <c r="O27" s="1070" t="str">
        <f>IF(Cdlac[[#This Row],[Quantity]]&gt;0,IF(Cdlac[[#This Row],[Federal]],30%,IF(AND(OR(NOT($G$38),$G$38=""),$G$43),40%,Cdlac[[#This Row],[iAMI]])),"")</f>
        <v/>
      </c>
      <c r="P27" s="1064" t="str" cm="1">
        <f t="array" ref="P27">IF(Cdlac[[#This Row],[Quantity]]&gt;0,INDEX(TcacRents,$P$18,Cdlac[[#This Row],[Bedrooms]]+1)*Cdlac[[#This Row],[AMI]],"")</f>
        <v/>
      </c>
      <c r="Q27" s="1163"/>
      <c r="R27" s="1064" t="str" cm="1">
        <f t="array" ref="R27">IF(Cdlac[[#This Row],[Quantity]]&gt;0,INDEX(HudFmrs,$P$18,Cdlac[[#This Row],[Bedrooms]]+1),"")</f>
        <v/>
      </c>
      <c r="S27" s="1064" t="str">
        <f>IF(Cdlac[[#This Row],[Quantity]]&gt;0,MAX(0,Cdlac[[#This Row],[Fair Market Rent]]-IF(AND($G$37,$G$38,$G$38&lt;&gt;"",NOT(Cdlac[[#This Row],[Federal]]),Cdlac[[#This Row],[Preservation Rent]]&lt;&gt;""),Cdlac[[#This Row],[Preservation Rent]],Cdlac[[#This Row],[Restricted Rent]])),"")</f>
        <v/>
      </c>
      <c r="T27" s="1043" t="str">
        <f>IF(Cdlac[[#This Row],[Quantity]]&gt;0,AND(Application!AK725&lt;&gt;"N/A",Application!AK725&lt;&gt;"")*Cdlac[[#This Row],[Quantity]],"")</f>
        <v/>
      </c>
      <c r="U27" s="1043" t="b">
        <f>AND('Subsidy Contract Calculation'!F11&gt;0,OR('Subsidy Contract Calculation'!C11="Federal",'Subsidy Contract Calculation'!C11="Local - Approved by ED"),Cdlac[[#This Row],[Quantity]]&gt;0)</f>
        <v>0</v>
      </c>
    </row>
    <row r="28" spans="1:21" ht="15" customHeight="1" thickBot="1">
      <c r="A28" s="1073"/>
      <c r="C28" s="1085">
        <v>4</v>
      </c>
      <c r="D28" s="1086">
        <f>1.75+0.25*0</f>
        <v>1.75</v>
      </c>
      <c r="E28" s="1087">
        <f>SUMIFS(Cdlac[Quantity],Cdlac[Bedrooms],C28)</f>
        <v>0</v>
      </c>
      <c r="F28" s="1085">
        <f>MIN(E28,ROUNDDOWN(E29*10%,0))</f>
        <v>0</v>
      </c>
      <c r="G28" s="1087">
        <f>D28*F28</f>
        <v>0</v>
      </c>
      <c r="H28" s="1073"/>
      <c r="I28" s="1073"/>
      <c r="L28" s="1043" t="str">
        <f>IFERROR(MIN(4,MATCH(Application!B726,UnitSizes,0)-1),"")</f>
        <v/>
      </c>
      <c r="M28" s="1064">
        <f>Application!G726</f>
        <v>0</v>
      </c>
      <c r="N28" s="1070">
        <f>Application!AC726</f>
        <v>0</v>
      </c>
      <c r="O28" s="1070" t="str">
        <f>IF(Cdlac[[#This Row],[Quantity]]&gt;0,IF(Cdlac[[#This Row],[Federal]],30%,IF(AND(OR(NOT($G$38),$G$38=""),$G$43),40%,Cdlac[[#This Row],[iAMI]])),"")</f>
        <v/>
      </c>
      <c r="P28" s="1064" t="str" cm="1">
        <f t="array" ref="P28">IF(Cdlac[[#This Row],[Quantity]]&gt;0,INDEX(TcacRents,$P$18,Cdlac[[#This Row],[Bedrooms]]+1)*Cdlac[[#This Row],[AMI]],"")</f>
        <v/>
      </c>
      <c r="Q28" s="1163"/>
      <c r="R28" s="1064" t="str" cm="1">
        <f t="array" ref="R28">IF(Cdlac[[#This Row],[Quantity]]&gt;0,INDEX(HudFmrs,$P$18,Cdlac[[#This Row],[Bedrooms]]+1),"")</f>
        <v/>
      </c>
      <c r="S28" s="1064" t="str">
        <f>IF(Cdlac[[#This Row],[Quantity]]&gt;0,MAX(0,Cdlac[[#This Row],[Fair Market Rent]]-IF(AND($G$37,$G$38,$G$38&lt;&gt;"",NOT(Cdlac[[#This Row],[Federal]]),Cdlac[[#This Row],[Preservation Rent]]&lt;&gt;""),Cdlac[[#This Row],[Preservation Rent]],Cdlac[[#This Row],[Restricted Rent]])),"")</f>
        <v/>
      </c>
      <c r="T28" s="1043" t="str">
        <f>IF(Cdlac[[#This Row],[Quantity]]&gt;0,AND(Application!AK726&lt;&gt;"N/A",Application!AK726&lt;&gt;"")*Cdlac[[#This Row],[Quantity]],"")</f>
        <v/>
      </c>
      <c r="U28" s="1043" t="b">
        <f>AND('Subsidy Contract Calculation'!F12&gt;0,OR('Subsidy Contract Calculation'!C12="Federal",'Subsidy Contract Calculation'!C12="Local - Approved by ED"),Cdlac[[#This Row],[Quantity]]&gt;0)</f>
        <v>0</v>
      </c>
    </row>
    <row r="29" spans="1:21" ht="15" customHeight="1">
      <c r="A29" s="1073"/>
      <c r="C29" s="2686" t="s">
        <v>1585</v>
      </c>
      <c r="D29" s="2687"/>
      <c r="E29" s="1088">
        <f>SUM(E24:E28)</f>
        <v>391</v>
      </c>
      <c r="F29" s="1088">
        <f>SUM(F24:F28)</f>
        <v>391</v>
      </c>
      <c r="G29" s="1089">
        <f>SUMPRODUCT(D24:D28,F24:F28)</f>
        <v>397.5</v>
      </c>
      <c r="H29" s="1073"/>
      <c r="I29" s="1073"/>
      <c r="L29" s="1043" t="str">
        <f>IFERROR(MIN(4,MATCH(Application!B727,UnitSizes,0)-1),"")</f>
        <v/>
      </c>
      <c r="M29" s="1064">
        <f>Application!G727</f>
        <v>0</v>
      </c>
      <c r="N29" s="1070">
        <f>Application!AC727</f>
        <v>0</v>
      </c>
      <c r="O29" s="1070" t="str">
        <f>IF(Cdlac[[#This Row],[Quantity]]&gt;0,IF(Cdlac[[#This Row],[Federal]],30%,IF(AND(OR(NOT($G$38),$G$38=""),$G$43),40%,Cdlac[[#This Row],[iAMI]])),"")</f>
        <v/>
      </c>
      <c r="P29" s="1064" t="str" cm="1">
        <f t="array" ref="P29">IF(Cdlac[[#This Row],[Quantity]]&gt;0,INDEX(TcacRents,$P$18,Cdlac[[#This Row],[Bedrooms]]+1)*Cdlac[[#This Row],[AMI]],"")</f>
        <v/>
      </c>
      <c r="Q29" s="1163"/>
      <c r="R29" s="1064" t="str" cm="1">
        <f t="array" ref="R29">IF(Cdlac[[#This Row],[Quantity]]&gt;0,INDEX(HudFmrs,$P$18,Cdlac[[#This Row],[Bedrooms]]+1),"")</f>
        <v/>
      </c>
      <c r="S29" s="1064" t="str">
        <f>IF(Cdlac[[#This Row],[Quantity]]&gt;0,MAX(0,Cdlac[[#This Row],[Fair Market Rent]]-IF(AND($G$37,$G$38,$G$38&lt;&gt;"",NOT(Cdlac[[#This Row],[Federal]]),Cdlac[[#This Row],[Preservation Rent]]&lt;&gt;""),Cdlac[[#This Row],[Preservation Rent]],Cdlac[[#This Row],[Restricted Rent]])),"")</f>
        <v/>
      </c>
      <c r="T29" s="1043" t="str">
        <f>IF(Cdlac[[#This Row],[Quantity]]&gt;0,AND(Application!AK727&lt;&gt;"N/A",Application!AK727&lt;&gt;"")*Cdlac[[#This Row],[Quantity]],"")</f>
        <v/>
      </c>
      <c r="U29" s="1043" t="b">
        <f>AND('Subsidy Contract Calculation'!F13&gt;0,OR('Subsidy Contract Calculation'!C13="Federal",'Subsidy Contract Calculation'!C13="Local - Approved by ED"),Cdlac[[#This Row],[Quantity]]&gt;0)</f>
        <v>0</v>
      </c>
    </row>
    <row r="30" spans="1:21" ht="15" customHeight="1">
      <c r="A30" s="1073"/>
      <c r="C30" s="1073"/>
      <c r="D30" s="1073"/>
      <c r="E30" s="1073"/>
      <c r="F30" s="1073"/>
      <c r="G30" s="1073"/>
      <c r="H30" s="1073"/>
      <c r="I30" s="1073"/>
      <c r="L30" s="1043" t="str">
        <f>IFERROR(MIN(4,MATCH(Application!B728,UnitSizes,0)-1),"")</f>
        <v/>
      </c>
      <c r="M30" s="1064">
        <f>Application!G728</f>
        <v>0</v>
      </c>
      <c r="N30" s="1070">
        <f>Application!AC728</f>
        <v>0</v>
      </c>
      <c r="O30" s="1070" t="str">
        <f>IF(Cdlac[[#This Row],[Quantity]]&gt;0,IF(Cdlac[[#This Row],[Federal]],30%,IF(AND(OR(NOT($G$38),$G$38=""),$G$43),40%,Cdlac[[#This Row],[iAMI]])),"")</f>
        <v/>
      </c>
      <c r="P30" s="1064" t="str" cm="1">
        <f t="array" ref="P30">IF(Cdlac[[#This Row],[Quantity]]&gt;0,INDEX(TcacRents,$P$18,Cdlac[[#This Row],[Bedrooms]]+1)*Cdlac[[#This Row],[AMI]],"")</f>
        <v/>
      </c>
      <c r="Q30" s="1163"/>
      <c r="R30" s="1064" t="str" cm="1">
        <f t="array" ref="R30">IF(Cdlac[[#This Row],[Quantity]]&gt;0,INDEX(HudFmrs,$P$18,Cdlac[[#This Row],[Bedrooms]]+1),"")</f>
        <v/>
      </c>
      <c r="S30" s="1064" t="str">
        <f>IF(Cdlac[[#This Row],[Quantity]]&gt;0,MAX(0,Cdlac[[#This Row],[Fair Market Rent]]-IF(AND($G$37,$G$38,$G$38&lt;&gt;"",NOT(Cdlac[[#This Row],[Federal]]),Cdlac[[#This Row],[Preservation Rent]]&lt;&gt;""),Cdlac[[#This Row],[Preservation Rent]],Cdlac[[#This Row],[Restricted Rent]])),"")</f>
        <v/>
      </c>
      <c r="T30" s="1043" t="str">
        <f>IF(Cdlac[[#This Row],[Quantity]]&gt;0,AND(Application!AK728&lt;&gt;"N/A",Application!AK728&lt;&gt;"")*Cdlac[[#This Row],[Quantity]],"")</f>
        <v/>
      </c>
      <c r="U30" s="1043" t="b">
        <f>AND('Subsidy Contract Calculation'!F14&gt;0,OR('Subsidy Contract Calculation'!C14="Federal",'Subsidy Contract Calculation'!C14="Local - Approved by ED"),Cdlac[[#This Row],[Quantity]]&gt;0)</f>
        <v>0</v>
      </c>
    </row>
    <row r="31" spans="1:21" ht="15" customHeight="1">
      <c r="A31" s="1073"/>
      <c r="E31" s="1116" t="s">
        <v>1985</v>
      </c>
      <c r="G31" s="1113">
        <f>G29</f>
        <v>397.5</v>
      </c>
      <c r="H31" s="1073"/>
      <c r="I31" s="1073"/>
      <c r="L31" s="1043" t="str">
        <f>IFERROR(MIN(4,MATCH(Application!B729,UnitSizes,0)-1),"")</f>
        <v/>
      </c>
      <c r="M31" s="1064">
        <f>Application!G729</f>
        <v>0</v>
      </c>
      <c r="N31" s="1070">
        <f>Application!AC729</f>
        <v>0</v>
      </c>
      <c r="O31" s="1070" t="str">
        <f>IF(Cdlac[[#This Row],[Quantity]]&gt;0,IF(Cdlac[[#This Row],[Federal]],30%,IF(AND(OR(NOT($G$38),$G$38=""),$G$43),40%,Cdlac[[#This Row],[iAMI]])),"")</f>
        <v/>
      </c>
      <c r="P31" s="1064" t="str" cm="1">
        <f t="array" ref="P31">IF(Cdlac[[#This Row],[Quantity]]&gt;0,INDEX(TcacRents,$P$18,Cdlac[[#This Row],[Bedrooms]]+1)*Cdlac[[#This Row],[AMI]],"")</f>
        <v/>
      </c>
      <c r="Q31" s="1163"/>
      <c r="R31" s="1064" t="str" cm="1">
        <f t="array" ref="R31">IF(Cdlac[[#This Row],[Quantity]]&gt;0,INDEX(HudFmrs,$P$18,Cdlac[[#This Row],[Bedrooms]]+1),"")</f>
        <v/>
      </c>
      <c r="S31" s="1064" t="str">
        <f>IF(Cdlac[[#This Row],[Quantity]]&gt;0,MAX(0,Cdlac[[#This Row],[Fair Market Rent]]-IF(AND($G$37,$G$38,$G$38&lt;&gt;"",NOT(Cdlac[[#This Row],[Federal]]),Cdlac[[#This Row],[Preservation Rent]]&lt;&gt;""),Cdlac[[#This Row],[Preservation Rent]],Cdlac[[#This Row],[Restricted Rent]])),"")</f>
        <v/>
      </c>
      <c r="T31" s="1043" t="str">
        <f>IF(Cdlac[[#This Row],[Quantity]]&gt;0,AND(Application!AK729&lt;&gt;"N/A",Application!AK729&lt;&gt;"")*Cdlac[[#This Row],[Quantity]],"")</f>
        <v/>
      </c>
      <c r="U31" s="1043" t="b">
        <f>AND('Subsidy Contract Calculation'!F15&gt;0,OR('Subsidy Contract Calculation'!C15="Federal",'Subsidy Contract Calculation'!C15="Local - Approved by ED"),Cdlac[[#This Row],[Quantity]]&gt;0)</f>
        <v>0</v>
      </c>
    </row>
    <row r="32" spans="1:21" ht="15" customHeight="1">
      <c r="A32" s="1073"/>
      <c r="E32" s="1116" t="s">
        <v>1944</v>
      </c>
      <c r="F32" s="1112" t="s">
        <v>1992</v>
      </c>
      <c r="G32" s="1114">
        <v>50000</v>
      </c>
      <c r="H32" s="1073"/>
      <c r="I32" s="1073"/>
      <c r="L32" s="1043" t="str">
        <f>IFERROR(MIN(4,MATCH(Application!B730,UnitSizes,0)-1),"")</f>
        <v/>
      </c>
      <c r="M32" s="1064">
        <f>Application!G730</f>
        <v>0</v>
      </c>
      <c r="N32" s="1070">
        <f>Application!AC730</f>
        <v>0</v>
      </c>
      <c r="O32" s="1070" t="str">
        <f>IF(Cdlac[[#This Row],[Quantity]]&gt;0,IF(Cdlac[[#This Row],[Federal]],30%,IF(AND(OR(NOT($G$38),$G$38=""),$G$43),40%,Cdlac[[#This Row],[iAMI]])),"")</f>
        <v/>
      </c>
      <c r="P32" s="1064" t="str" cm="1">
        <f t="array" ref="P32">IF(Cdlac[[#This Row],[Quantity]]&gt;0,INDEX(TcacRents,$P$18,Cdlac[[#This Row],[Bedrooms]]+1)*Cdlac[[#This Row],[AMI]],"")</f>
        <v/>
      </c>
      <c r="Q32" s="1163"/>
      <c r="R32" s="1064" t="str" cm="1">
        <f t="array" ref="R32">IF(Cdlac[[#This Row],[Quantity]]&gt;0,INDEX(HudFmrs,$P$18,Cdlac[[#This Row],[Bedrooms]]+1),"")</f>
        <v/>
      </c>
      <c r="S32" s="1064" t="str">
        <f>IF(Cdlac[[#This Row],[Quantity]]&gt;0,MAX(0,Cdlac[[#This Row],[Fair Market Rent]]-IF(AND($G$37,$G$38,$G$38&lt;&gt;"",NOT(Cdlac[[#This Row],[Federal]]),Cdlac[[#This Row],[Preservation Rent]]&lt;&gt;""),Cdlac[[#This Row],[Preservation Rent]],Cdlac[[#This Row],[Restricted Rent]])),"")</f>
        <v/>
      </c>
      <c r="T32" s="1043" t="str">
        <f>IF(Cdlac[[#This Row],[Quantity]]&gt;0,AND(Application!AK730&lt;&gt;"N/A",Application!AK730&lt;&gt;"")*Cdlac[[#This Row],[Quantity]],"")</f>
        <v/>
      </c>
      <c r="U32" s="1043" t="b">
        <f>AND('Subsidy Contract Calculation'!F16&gt;0,OR('Subsidy Contract Calculation'!C16="Federal",'Subsidy Contract Calculation'!C16="Local - Approved by ED"),Cdlac[[#This Row],[Quantity]]&gt;0)</f>
        <v>0</v>
      </c>
    </row>
    <row r="33" spans="1:21" ht="15" customHeight="1">
      <c r="A33" s="1073"/>
      <c r="E33" s="1117" t="s">
        <v>1978</v>
      </c>
      <c r="F33" s="1045"/>
      <c r="G33" s="1118">
        <f>G32*G31</f>
        <v>19875000</v>
      </c>
      <c r="H33" s="1073"/>
      <c r="I33" s="1073"/>
      <c r="L33" s="1043" t="str">
        <f>IFERROR(MIN(4,MATCH(Application!B731,UnitSizes,0)-1),"")</f>
        <v/>
      </c>
      <c r="M33" s="1064">
        <f>Application!G731</f>
        <v>0</v>
      </c>
      <c r="N33" s="1070">
        <f>Application!AC731</f>
        <v>0</v>
      </c>
      <c r="O33" s="1070" t="str">
        <f>IF(Cdlac[[#This Row],[Quantity]]&gt;0,IF(Cdlac[[#This Row],[Federal]],30%,IF(AND(OR(NOT($G$38),$G$38=""),$G$43),40%,Cdlac[[#This Row],[iAMI]])),"")</f>
        <v/>
      </c>
      <c r="P33" s="1064" t="str" cm="1">
        <f t="array" ref="P33">IF(Cdlac[[#This Row],[Quantity]]&gt;0,INDEX(TcacRents,$P$18,Cdlac[[#This Row],[Bedrooms]]+1)*Cdlac[[#This Row],[AMI]],"")</f>
        <v/>
      </c>
      <c r="Q33" s="1163"/>
      <c r="R33" s="1064" t="str" cm="1">
        <f t="array" ref="R33">IF(Cdlac[[#This Row],[Quantity]]&gt;0,INDEX(HudFmrs,$P$18,Cdlac[[#This Row],[Bedrooms]]+1),"")</f>
        <v/>
      </c>
      <c r="S33" s="1064" t="str">
        <f>IF(Cdlac[[#This Row],[Quantity]]&gt;0,MAX(0,Cdlac[[#This Row],[Fair Market Rent]]-IF(AND($G$37,$G$38,$G$38&lt;&gt;"",NOT(Cdlac[[#This Row],[Federal]]),Cdlac[[#This Row],[Preservation Rent]]&lt;&gt;""),Cdlac[[#This Row],[Preservation Rent]],Cdlac[[#This Row],[Restricted Rent]])),"")</f>
        <v/>
      </c>
      <c r="T33" s="1043" t="str">
        <f>IF(Cdlac[[#This Row],[Quantity]]&gt;0,AND(Application!AK731&lt;&gt;"N/A",Application!AK731&lt;&gt;"")*Cdlac[[#This Row],[Quantity]],"")</f>
        <v/>
      </c>
      <c r="U33" s="1043" t="b">
        <f>AND('Subsidy Contract Calculation'!F17&gt;0,OR('Subsidy Contract Calculation'!C17="Federal",'Subsidy Contract Calculation'!C17="Local - Approved by ED"),Cdlac[[#This Row],[Quantity]]&gt;0)</f>
        <v>0</v>
      </c>
    </row>
    <row r="34" spans="1:21" ht="15" customHeight="1">
      <c r="A34" s="1073"/>
      <c r="B34" s="1073"/>
      <c r="C34" s="1073"/>
      <c r="D34" s="1073"/>
      <c r="E34" s="1073"/>
      <c r="F34" s="1073"/>
      <c r="G34" s="1073"/>
      <c r="H34" s="1073"/>
      <c r="I34" s="1073"/>
      <c r="L34" s="1043" t="str">
        <f>IFERROR(MIN(4,MATCH(Application!B732,UnitSizes,0)-1),"")</f>
        <v/>
      </c>
      <c r="M34" s="1064">
        <f>Application!G732</f>
        <v>0</v>
      </c>
      <c r="N34" s="1070">
        <f>Application!AC732</f>
        <v>0</v>
      </c>
      <c r="O34" s="1070" t="str">
        <f>IF(Cdlac[[#This Row],[Quantity]]&gt;0,IF(Cdlac[[#This Row],[Federal]],30%,IF(AND(OR(NOT($G$38),$G$38=""),$G$43),40%,Cdlac[[#This Row],[iAMI]])),"")</f>
        <v/>
      </c>
      <c r="P34" s="1064" t="str" cm="1">
        <f t="array" ref="P34">IF(Cdlac[[#This Row],[Quantity]]&gt;0,INDEX(TcacRents,$P$18,Cdlac[[#This Row],[Bedrooms]]+1)*Cdlac[[#This Row],[AMI]],"")</f>
        <v/>
      </c>
      <c r="Q34" s="1163"/>
      <c r="R34" s="1064" t="str" cm="1">
        <f t="array" ref="R34">IF(Cdlac[[#This Row],[Quantity]]&gt;0,INDEX(HudFmrs,$P$18,Cdlac[[#This Row],[Bedrooms]]+1),"")</f>
        <v/>
      </c>
      <c r="S34" s="1064" t="str">
        <f>IF(Cdlac[[#This Row],[Quantity]]&gt;0,MAX(0,Cdlac[[#This Row],[Fair Market Rent]]-IF(AND($G$37,$G$38,$G$38&lt;&gt;"",NOT(Cdlac[[#This Row],[Federal]]),Cdlac[[#This Row],[Preservation Rent]]&lt;&gt;""),Cdlac[[#This Row],[Preservation Rent]],Cdlac[[#This Row],[Restricted Rent]])),"")</f>
        <v/>
      </c>
      <c r="T34" s="1043" t="str">
        <f>IF(Cdlac[[#This Row],[Quantity]]&gt;0,AND(Application!AK732&lt;&gt;"N/A",Application!AK732&lt;&gt;"")*Cdlac[[#This Row],[Quantity]],"")</f>
        <v/>
      </c>
      <c r="U34" s="1043" t="b">
        <f>AND('Subsidy Contract Calculation'!F18&gt;0,OR('Subsidy Contract Calculation'!C18="Federal",'Subsidy Contract Calculation'!C18="Local - Approved by ED"),Cdlac[[#This Row],[Quantity]]&gt;0)</f>
        <v>0</v>
      </c>
    </row>
    <row r="35" spans="1:21" ht="15" customHeight="1">
      <c r="B35" s="1065" t="str">
        <f>B10</f>
        <v>B. Rent Savings Benefit</v>
      </c>
      <c r="C35" s="1066"/>
      <c r="D35" s="1066"/>
      <c r="E35" s="1066"/>
      <c r="F35" s="1066"/>
      <c r="G35" s="1066"/>
      <c r="H35" s="1066"/>
      <c r="I35" s="1067"/>
      <c r="L35" s="1043" t="str">
        <f>IFERROR(MIN(4,MATCH(Application!B733,UnitSizes,0)-1),"")</f>
        <v/>
      </c>
      <c r="M35" s="1064">
        <f>Application!G733</f>
        <v>0</v>
      </c>
      <c r="N35" s="1070">
        <f>Application!AC733</f>
        <v>0</v>
      </c>
      <c r="O35" s="1070" t="str">
        <f>IF(Cdlac[[#This Row],[Quantity]]&gt;0,IF(Cdlac[[#This Row],[Federal]],30%,IF(AND(OR(NOT($G$38),$G$38=""),$G$43),40%,Cdlac[[#This Row],[iAMI]])),"")</f>
        <v/>
      </c>
      <c r="P35" s="1064" t="str" cm="1">
        <f t="array" ref="P35">IF(Cdlac[[#This Row],[Quantity]]&gt;0,INDEX(TcacRents,$P$18,Cdlac[[#This Row],[Bedrooms]]+1)*Cdlac[[#This Row],[AMI]],"")</f>
        <v/>
      </c>
      <c r="Q35" s="1163"/>
      <c r="R35" s="1064" t="str" cm="1">
        <f t="array" ref="R35">IF(Cdlac[[#This Row],[Quantity]]&gt;0,INDEX(HudFmrs,$P$18,Cdlac[[#This Row],[Bedrooms]]+1),"")</f>
        <v/>
      </c>
      <c r="S35" s="1064" t="str">
        <f>IF(Cdlac[[#This Row],[Quantity]]&gt;0,MAX(0,Cdlac[[#This Row],[Fair Market Rent]]-IF(AND($G$37,$G$38,$G$38&lt;&gt;"",NOT(Cdlac[[#This Row],[Federal]]),Cdlac[[#This Row],[Preservation Rent]]&lt;&gt;""),Cdlac[[#This Row],[Preservation Rent]],Cdlac[[#This Row],[Restricted Rent]])),"")</f>
        <v/>
      </c>
      <c r="T35" s="1043" t="str">
        <f>IF(Cdlac[[#This Row],[Quantity]]&gt;0,AND(Application!AK733&lt;&gt;"N/A",Application!AK733&lt;&gt;"")*Cdlac[[#This Row],[Quantity]],"")</f>
        <v/>
      </c>
      <c r="U35" s="1043" t="b">
        <f>AND('Subsidy Contract Calculation'!F19&gt;0,OR('Subsidy Contract Calculation'!C19="Federal",'Subsidy Contract Calculation'!C19="Local - Approved by ED"),Cdlac[[#This Row],[Quantity]]&gt;0)</f>
        <v>0</v>
      </c>
    </row>
    <row r="36" spans="1:21" ht="15" customHeight="1">
      <c r="L36" s="1043" t="str">
        <f>IFERROR(MIN(4,MATCH(Application!B734,UnitSizes,0)-1),"")</f>
        <v/>
      </c>
      <c r="M36" s="1064">
        <f>Application!G734</f>
        <v>0</v>
      </c>
      <c r="N36" s="1070">
        <f>Application!AC734</f>
        <v>0</v>
      </c>
      <c r="O36" s="1070" t="str">
        <f>IF(Cdlac[[#This Row],[Quantity]]&gt;0,IF(Cdlac[[#This Row],[Federal]],30%,IF(AND(OR(NOT($G$38),$G$38=""),$G$43),40%,Cdlac[[#This Row],[iAMI]])),"")</f>
        <v/>
      </c>
      <c r="P36" s="1064" t="str" cm="1">
        <f t="array" ref="P36">IF(Cdlac[[#This Row],[Quantity]]&gt;0,INDEX(TcacRents,$P$18,Cdlac[[#This Row],[Bedrooms]]+1)*Cdlac[[#This Row],[AMI]],"")</f>
        <v/>
      </c>
      <c r="Q36" s="1163"/>
      <c r="R36" s="1064" t="str" cm="1">
        <f t="array" ref="R36">IF(Cdlac[[#This Row],[Quantity]]&gt;0,INDEX(HudFmrs,$P$18,Cdlac[[#This Row],[Bedrooms]]+1),"")</f>
        <v/>
      </c>
      <c r="S36" s="1064" t="str">
        <f>IF(Cdlac[[#This Row],[Quantity]]&gt;0,MAX(0,Cdlac[[#This Row],[Fair Market Rent]]-IF(AND($G$37,$G$38,$G$38&lt;&gt;"",NOT(Cdlac[[#This Row],[Federal]]),Cdlac[[#This Row],[Preservation Rent]]&lt;&gt;""),Cdlac[[#This Row],[Preservation Rent]],Cdlac[[#This Row],[Restricted Rent]])),"")</f>
        <v/>
      </c>
      <c r="T36" s="1043" t="str">
        <f>IF(Cdlac[[#This Row],[Quantity]]&gt;0,AND(Application!AK734&lt;&gt;"N/A",Application!AK734&lt;&gt;"")*Cdlac[[#This Row],[Quantity]],"")</f>
        <v/>
      </c>
      <c r="U36" s="1043" t="b">
        <f>AND('Subsidy Contract Calculation'!F20&gt;0,OR('Subsidy Contract Calculation'!C20="Federal",'Subsidy Contract Calculation'!C20="Local - Approved by ED"),Cdlac[[#This Row],[Quantity]]&gt;0)</f>
        <v>0</v>
      </c>
    </row>
    <row r="37" spans="1:21" ht="15" customHeight="1">
      <c r="E37" s="1083" t="s">
        <v>2259</v>
      </c>
      <c r="G37" s="1043" t="b">
        <f>OR('Points System'!B13="Yes",'Points System'!B16="Yes",'Points System'!B22="Yes",'Points System'!B25="Yes",'Points System'!B28="Yes",'Points System'!B33="Yes",'Points System'!B36="Yes",'Points System'!B40="Yes",'Points System'!B45="Yes")</f>
        <v>0</v>
      </c>
      <c r="L37" s="1043" t="str">
        <f>IFERROR(MIN(4,MATCH(Application!B735,UnitSizes,0)-1),"")</f>
        <v/>
      </c>
      <c r="M37" s="1064">
        <f>Application!G735</f>
        <v>0</v>
      </c>
      <c r="N37" s="1070">
        <f>Application!AC735</f>
        <v>0</v>
      </c>
      <c r="O37" s="1070" t="str">
        <f>IF(Cdlac[[#This Row],[Quantity]]&gt;0,IF(Cdlac[[#This Row],[Federal]],30%,IF(AND(OR(NOT($G$38),$G$38=""),$G$43),40%,Cdlac[[#This Row],[iAMI]])),"")</f>
        <v/>
      </c>
      <c r="P37" s="1064" t="str" cm="1">
        <f t="array" ref="P37">IF(Cdlac[[#This Row],[Quantity]]&gt;0,INDEX(TcacRents,$P$18,Cdlac[[#This Row],[Bedrooms]]+1)*Cdlac[[#This Row],[AMI]],"")</f>
        <v/>
      </c>
      <c r="Q37" s="1163"/>
      <c r="R37" s="1064" t="str" cm="1">
        <f t="array" ref="R37">IF(Cdlac[[#This Row],[Quantity]]&gt;0,INDEX(HudFmrs,$P$18,Cdlac[[#This Row],[Bedrooms]]+1),"")</f>
        <v/>
      </c>
      <c r="S37" s="1064" t="str">
        <f>IF(Cdlac[[#This Row],[Quantity]]&gt;0,MAX(0,Cdlac[[#This Row],[Fair Market Rent]]-IF(AND($G$37,$G$38,$G$38&lt;&gt;"",NOT(Cdlac[[#This Row],[Federal]]),Cdlac[[#This Row],[Preservation Rent]]&lt;&gt;""),Cdlac[[#This Row],[Preservation Rent]],Cdlac[[#This Row],[Restricted Rent]])),"")</f>
        <v/>
      </c>
      <c r="T37" s="1043" t="str">
        <f>IF(Cdlac[[#This Row],[Quantity]]&gt;0,AND(Application!AK735&lt;&gt;"N/A",Application!AK735&lt;&gt;"")*Cdlac[[#This Row],[Quantity]],"")</f>
        <v/>
      </c>
      <c r="U37" s="1043" t="b">
        <f>AND('Subsidy Contract Calculation'!F21&gt;0,OR('Subsidy Contract Calculation'!C21="Federal",'Subsidy Contract Calculation'!C21="Local - Approved by ED"),Cdlac[[#This Row],[Quantity]]&gt;0)</f>
        <v>0</v>
      </c>
    </row>
    <row r="38" spans="1:21" ht="15" customHeight="1">
      <c r="E38" s="1083" t="s">
        <v>2260</v>
      </c>
      <c r="G38" s="1162"/>
      <c r="L38" s="1043" t="str">
        <f>IFERROR(MIN(4,MATCH(Application!B736,UnitSizes,0)-1),"")</f>
        <v/>
      </c>
      <c r="M38" s="1064">
        <f>Application!G736</f>
        <v>0</v>
      </c>
      <c r="N38" s="1070">
        <f>Application!AC736</f>
        <v>0</v>
      </c>
      <c r="O38" s="1070" t="str">
        <f>IF(Cdlac[[#This Row],[Quantity]]&gt;0,IF(Cdlac[[#This Row],[Federal]],30%,IF(AND(OR(NOT($G$38),$G$38=""),$G$43),40%,Cdlac[[#This Row],[iAMI]])),"")</f>
        <v/>
      </c>
      <c r="P38" s="1064" t="str" cm="1">
        <f t="array" ref="P38">IF(Cdlac[[#This Row],[Quantity]]&gt;0,INDEX(TcacRents,$P$18,Cdlac[[#This Row],[Bedrooms]]+1)*Cdlac[[#This Row],[AMI]],"")</f>
        <v/>
      </c>
      <c r="Q38" s="1163"/>
      <c r="R38" s="1064" t="str" cm="1">
        <f t="array" ref="R38">IF(Cdlac[[#This Row],[Quantity]]&gt;0,INDEX(HudFmrs,$P$18,Cdlac[[#This Row],[Bedrooms]]+1),"")</f>
        <v/>
      </c>
      <c r="S38" s="1064" t="str">
        <f>IF(Cdlac[[#This Row],[Quantity]]&gt;0,MAX(0,Cdlac[[#This Row],[Fair Market Rent]]-IF(AND($G$37,$G$38,$G$38&lt;&gt;"",NOT(Cdlac[[#This Row],[Federal]]),Cdlac[[#This Row],[Preservation Rent]]&lt;&gt;""),Cdlac[[#This Row],[Preservation Rent]],Cdlac[[#This Row],[Restricted Rent]])),"")</f>
        <v/>
      </c>
      <c r="T38" s="1043" t="str">
        <f>IF(Cdlac[[#This Row],[Quantity]]&gt;0,AND(Application!AK736&lt;&gt;"N/A",Application!AK736&lt;&gt;"")*Cdlac[[#This Row],[Quantity]],"")</f>
        <v/>
      </c>
      <c r="U38" s="1043" t="b">
        <f>AND('Subsidy Contract Calculation'!F22&gt;0,OR('Subsidy Contract Calculation'!C22="Federal",'Subsidy Contract Calculation'!C22="Local - Approved by ED"),Cdlac[[#This Row],[Quantity]]&gt;0)</f>
        <v>0</v>
      </c>
    </row>
    <row r="39" spans="1:21" ht="15" customHeight="1">
      <c r="C39" s="2689" t="str">
        <f>IF(AND(G37,G38,G38&lt;&gt;""),"Enter the average rent charged for each unit type over the last three years, as documented with rent rolls or property audits, in cells Q20:Q44","")</f>
        <v/>
      </c>
      <c r="D39" s="2689"/>
      <c r="E39" s="2689"/>
      <c r="F39" s="2689"/>
      <c r="G39" s="2689"/>
      <c r="H39" s="2689"/>
      <c r="L39" s="1043" t="str">
        <f>IFERROR(MIN(4,MATCH(Application!B737,UnitSizes,0)-1),"")</f>
        <v/>
      </c>
      <c r="M39" s="1064">
        <f>Application!G737</f>
        <v>0</v>
      </c>
      <c r="N39" s="1070">
        <f>Application!AC737</f>
        <v>0</v>
      </c>
      <c r="O39" s="1070" t="str">
        <f>IF(Cdlac[[#This Row],[Quantity]]&gt;0,IF(Cdlac[[#This Row],[Federal]],30%,IF(AND(OR(NOT($G$38),$G$38=""),$G$43),40%,Cdlac[[#This Row],[iAMI]])),"")</f>
        <v/>
      </c>
      <c r="P39" s="1064" t="str" cm="1">
        <f t="array" ref="P39">IF(Cdlac[[#This Row],[Quantity]]&gt;0,INDEX(TcacRents,$P$18,Cdlac[[#This Row],[Bedrooms]]+1)*Cdlac[[#This Row],[AMI]],"")</f>
        <v/>
      </c>
      <c r="Q39" s="1163"/>
      <c r="R39" s="1064" t="str" cm="1">
        <f t="array" ref="R39">IF(Cdlac[[#This Row],[Quantity]]&gt;0,INDEX(HudFmrs,$P$18,Cdlac[[#This Row],[Bedrooms]]+1),"")</f>
        <v/>
      </c>
      <c r="S39" s="1064" t="str">
        <f>IF(Cdlac[[#This Row],[Quantity]]&gt;0,MAX(0,Cdlac[[#This Row],[Fair Market Rent]]-IF(AND($G$37,$G$38,$G$38&lt;&gt;"",NOT(Cdlac[[#This Row],[Federal]]),Cdlac[[#This Row],[Preservation Rent]]&lt;&gt;""),Cdlac[[#This Row],[Preservation Rent]],Cdlac[[#This Row],[Restricted Rent]])),"")</f>
        <v/>
      </c>
      <c r="T39" s="1043" t="str">
        <f>IF(Cdlac[[#This Row],[Quantity]]&gt;0,AND(Application!AK737&lt;&gt;"N/A",Application!AK737&lt;&gt;"")*Cdlac[[#This Row],[Quantity]],"")</f>
        <v/>
      </c>
      <c r="U39" s="1043" t="b">
        <f>AND('Subsidy Contract Calculation'!F23&gt;0,OR('Subsidy Contract Calculation'!C23="Federal",'Subsidy Contract Calculation'!C23="Local - Approved by ED"),Cdlac[[#This Row],[Quantity]]&gt;0)</f>
        <v>0</v>
      </c>
    </row>
    <row r="40" spans="1:21" ht="15" customHeight="1">
      <c r="C40" s="2689"/>
      <c r="D40" s="2689"/>
      <c r="E40" s="2689"/>
      <c r="F40" s="2689"/>
      <c r="G40" s="2689"/>
      <c r="H40" s="2689"/>
      <c r="L40" s="1043" t="str">
        <f>IFERROR(MIN(4,MATCH(Application!B738,UnitSizes,0)-1),"")</f>
        <v/>
      </c>
      <c r="M40" s="1064">
        <f>Application!G738</f>
        <v>0</v>
      </c>
      <c r="N40" s="1070">
        <f>Application!AC738</f>
        <v>0</v>
      </c>
      <c r="O40" s="1070" t="str">
        <f>IF(Cdlac[[#This Row],[Quantity]]&gt;0,IF(Cdlac[[#This Row],[Federal]],30%,IF(AND(OR(NOT($G$38),$G$38=""),$G$43),40%,Cdlac[[#This Row],[iAMI]])),"")</f>
        <v/>
      </c>
      <c r="P40" s="1064" t="str" cm="1">
        <f t="array" ref="P40">IF(Cdlac[[#This Row],[Quantity]]&gt;0,INDEX(TcacRents,$P$18,Cdlac[[#This Row],[Bedrooms]]+1)*Cdlac[[#This Row],[AMI]],"")</f>
        <v/>
      </c>
      <c r="Q40" s="1163"/>
      <c r="R40" s="1064" t="str" cm="1">
        <f t="array" ref="R40">IF(Cdlac[[#This Row],[Quantity]]&gt;0,INDEX(HudFmrs,$P$18,Cdlac[[#This Row],[Bedrooms]]+1),"")</f>
        <v/>
      </c>
      <c r="S40" s="1064" t="str">
        <f>IF(Cdlac[[#This Row],[Quantity]]&gt;0,MAX(0,Cdlac[[#This Row],[Fair Market Rent]]-IF(AND($G$37,$G$38,$G$38&lt;&gt;"",NOT(Cdlac[[#This Row],[Federal]]),Cdlac[[#This Row],[Preservation Rent]]&lt;&gt;""),Cdlac[[#This Row],[Preservation Rent]],Cdlac[[#This Row],[Restricted Rent]])),"")</f>
        <v/>
      </c>
      <c r="T40" s="1043" t="str">
        <f>IF(Cdlac[[#This Row],[Quantity]]&gt;0,AND(Application!AK738&lt;&gt;"N/A",Application!AK738&lt;&gt;"")*Cdlac[[#This Row],[Quantity]],"")</f>
        <v/>
      </c>
      <c r="U40" s="1043" t="b">
        <f>AND('Subsidy Contract Calculation'!F24&gt;0,OR('Subsidy Contract Calculation'!C24="Federal",'Subsidy Contract Calculation'!C24="Local - Approved by ED"),Cdlac[[#This Row],[Quantity]]&gt;0)</f>
        <v>0</v>
      </c>
    </row>
    <row r="41" spans="1:21" ht="15" customHeight="1">
      <c r="C41" s="2689"/>
      <c r="D41" s="2689"/>
      <c r="E41" s="2689"/>
      <c r="F41" s="2689"/>
      <c r="G41" s="2689"/>
      <c r="H41" s="2689"/>
      <c r="L41" s="1043" t="str">
        <f>IFERROR(MIN(4,MATCH(Application!B739,UnitSizes,0)-1),"")</f>
        <v/>
      </c>
      <c r="M41" s="1064">
        <f>Application!G739</f>
        <v>0</v>
      </c>
      <c r="N41" s="1070">
        <f>Application!AC739</f>
        <v>0</v>
      </c>
      <c r="O41" s="1070" t="str">
        <f>IF(Cdlac[[#This Row],[Quantity]]&gt;0,IF(Cdlac[[#This Row],[Federal]],30%,IF(AND(OR(NOT($G$38),$G$38=""),$G$43),40%,Cdlac[[#This Row],[iAMI]])),"")</f>
        <v/>
      </c>
      <c r="P41" s="1064" t="str" cm="1">
        <f t="array" ref="P41">IF(Cdlac[[#This Row],[Quantity]]&gt;0,INDEX(TcacRents,$P$18,Cdlac[[#This Row],[Bedrooms]]+1)*Cdlac[[#This Row],[AMI]],"")</f>
        <v/>
      </c>
      <c r="Q41" s="1163"/>
      <c r="R41" s="1064" t="str" cm="1">
        <f t="array" ref="R41">IF(Cdlac[[#This Row],[Quantity]]&gt;0,INDEX(HudFmrs,$P$18,Cdlac[[#This Row],[Bedrooms]]+1),"")</f>
        <v/>
      </c>
      <c r="S41" s="1064" t="str">
        <f>IF(Cdlac[[#This Row],[Quantity]]&gt;0,MAX(0,Cdlac[[#This Row],[Fair Market Rent]]-IF(AND($G$37,$G$38,$G$38&lt;&gt;"",NOT(Cdlac[[#This Row],[Federal]]),Cdlac[[#This Row],[Preservation Rent]]&lt;&gt;""),Cdlac[[#This Row],[Preservation Rent]],Cdlac[[#This Row],[Restricted Rent]])),"")</f>
        <v/>
      </c>
      <c r="T41" s="1043" t="str">
        <f>IF(Cdlac[[#This Row],[Quantity]]&gt;0,AND(Application!AK739&lt;&gt;"N/A",Application!AK739&lt;&gt;"")*Cdlac[[#This Row],[Quantity]],"")</f>
        <v/>
      </c>
      <c r="U41" s="1043" t="b">
        <f>AND('Subsidy Contract Calculation'!F25&gt;0,OR('Subsidy Contract Calculation'!C25="Federal",'Subsidy Contract Calculation'!C25="Local - Approved by ED"),Cdlac[[#This Row],[Quantity]]&gt;0)</f>
        <v>0</v>
      </c>
    </row>
    <row r="42" spans="1:21" ht="15" customHeight="1">
      <c r="E42" s="1083" t="s">
        <v>2003</v>
      </c>
      <c r="G42" s="1119" cm="1">
        <f t="array" ref="G42">SUMPRODUCT(Cdlac[Quantity],Cdlac[iAMI],IF(Cdlac[Federal],0,1))/SUMIFS(Cdlac[Quantity],Cdlac[Federal],FALSE)</f>
        <v>0.6</v>
      </c>
      <c r="L42" s="1043" t="str">
        <f>IFERROR(MIN(4,MATCH(Application!B740,UnitSizes,0)-1),"")</f>
        <v/>
      </c>
      <c r="M42" s="1064">
        <f>Application!G740</f>
        <v>0</v>
      </c>
      <c r="N42" s="1070">
        <f>Application!AC740</f>
        <v>0</v>
      </c>
      <c r="O42" s="1070" t="str">
        <f>IF(Cdlac[[#This Row],[Quantity]]&gt;0,IF(Cdlac[[#This Row],[Federal]],30%,IF(AND(OR(NOT($G$38),$G$38=""),$G$43),40%,Cdlac[[#This Row],[iAMI]])),"")</f>
        <v/>
      </c>
      <c r="P42" s="1064" t="str" cm="1">
        <f t="array" ref="P42">IF(Cdlac[[#This Row],[Quantity]]&gt;0,INDEX(TcacRents,$P$18,Cdlac[[#This Row],[Bedrooms]]+1)*Cdlac[[#This Row],[AMI]],"")</f>
        <v/>
      </c>
      <c r="Q42" s="1163"/>
      <c r="R42" s="1064" t="str" cm="1">
        <f t="array" ref="R42">IF(Cdlac[[#This Row],[Quantity]]&gt;0,INDEX(HudFmrs,$P$18,Cdlac[[#This Row],[Bedrooms]]+1),"")</f>
        <v/>
      </c>
      <c r="S42" s="1064" t="str">
        <f>IF(Cdlac[[#This Row],[Quantity]]&gt;0,MAX(0,Cdlac[[#This Row],[Fair Market Rent]]-IF(AND($G$37,$G$38,$G$38&lt;&gt;"",NOT(Cdlac[[#This Row],[Federal]]),Cdlac[[#This Row],[Preservation Rent]]&lt;&gt;""),Cdlac[[#This Row],[Preservation Rent]],Cdlac[[#This Row],[Restricted Rent]])),"")</f>
        <v/>
      </c>
      <c r="T42" s="1043" t="str">
        <f>IF(Cdlac[[#This Row],[Quantity]]&gt;0,AND(Application!AK740&lt;&gt;"N/A",Application!AK740&lt;&gt;"")*Cdlac[[#This Row],[Quantity]],"")</f>
        <v/>
      </c>
      <c r="U42" s="1043" t="b">
        <f>AND('Subsidy Contract Calculation'!F26&gt;0,OR('Subsidy Contract Calculation'!C26="Federal",'Subsidy Contract Calculation'!C26="Local - Approved by ED"),Cdlac[[#This Row],[Quantity]]&gt;0)</f>
        <v>0</v>
      </c>
    </row>
    <row r="43" spans="1:21" ht="15" customHeight="1">
      <c r="E43" s="1083" t="s">
        <v>1998</v>
      </c>
      <c r="G43" s="1080" t="b">
        <f>G42&lt;40%</f>
        <v>0</v>
      </c>
      <c r="L43" s="1043" t="str">
        <f>IFERROR(MIN(4,MATCH(Application!B741,UnitSizes,0)-1),"")</f>
        <v/>
      </c>
      <c r="M43" s="1064">
        <f>Application!G741</f>
        <v>0</v>
      </c>
      <c r="N43" s="1070">
        <f>Application!AC741</f>
        <v>0</v>
      </c>
      <c r="O43" s="1070" t="str">
        <f>IF(Cdlac[[#This Row],[Quantity]]&gt;0,IF(Cdlac[[#This Row],[Federal]],30%,IF(AND(OR(NOT($G$38),$G$38=""),$G$43),40%,Cdlac[[#This Row],[iAMI]])),"")</f>
        <v/>
      </c>
      <c r="P43" s="1064" t="str" cm="1">
        <f t="array" ref="P43">IF(Cdlac[[#This Row],[Quantity]]&gt;0,INDEX(TcacRents,$P$18,Cdlac[[#This Row],[Bedrooms]]+1)*Cdlac[[#This Row],[AMI]],"")</f>
        <v/>
      </c>
      <c r="Q43" s="1163"/>
      <c r="R43" s="1064" t="str" cm="1">
        <f t="array" ref="R43">IF(Cdlac[[#This Row],[Quantity]]&gt;0,INDEX(HudFmrs,$P$18,Cdlac[[#This Row],[Bedrooms]]+1),"")</f>
        <v/>
      </c>
      <c r="S43" s="1064" t="str">
        <f>IF(Cdlac[[#This Row],[Quantity]]&gt;0,MAX(0,Cdlac[[#This Row],[Fair Market Rent]]-IF(AND($G$37,$G$38,$G$38&lt;&gt;"",NOT(Cdlac[[#This Row],[Federal]]),Cdlac[[#This Row],[Preservation Rent]]&lt;&gt;""),Cdlac[[#This Row],[Preservation Rent]],Cdlac[[#This Row],[Restricted Rent]])),"")</f>
        <v/>
      </c>
      <c r="T43" s="1043" t="str">
        <f>IF(Cdlac[[#This Row],[Quantity]]&gt;0,AND(Application!AK741&lt;&gt;"N/A",Application!AK741&lt;&gt;"")*Cdlac[[#This Row],[Quantity]],"")</f>
        <v/>
      </c>
      <c r="U43" s="1043" t="b">
        <f>AND('Subsidy Contract Calculation'!F27&gt;0,OR('Subsidy Contract Calculation'!C27="Federal",'Subsidy Contract Calculation'!C27="Local - Approved by ED"),Cdlac[[#This Row],[Quantity]]&gt;0)</f>
        <v>0</v>
      </c>
    </row>
    <row r="44" spans="1:21" ht="15" customHeight="1">
      <c r="L44" s="1043" t="str">
        <f>IFERROR(MIN(4,MATCH(Application!B742,UnitSizes,0)-1),"")</f>
        <v/>
      </c>
      <c r="M44" s="1064">
        <f>Application!G742</f>
        <v>0</v>
      </c>
      <c r="N44" s="1070">
        <f>Application!AC742</f>
        <v>0</v>
      </c>
      <c r="O44" s="1070" t="str">
        <f>IF(Cdlac[[#This Row],[Quantity]]&gt;0,IF(Cdlac[[#This Row],[Federal]],30%,IF(AND(OR(NOT($G$38),$G$38=""),$G$43),40%,Cdlac[[#This Row],[iAMI]])),"")</f>
        <v/>
      </c>
      <c r="P44" s="1064" t="str" cm="1">
        <f t="array" ref="P44">IF(Cdlac[[#This Row],[Quantity]]&gt;0,INDEX(TcacRents,$P$18,Cdlac[[#This Row],[Bedrooms]]+1)*Cdlac[[#This Row],[AMI]],"")</f>
        <v/>
      </c>
      <c r="Q44" s="1163"/>
      <c r="R44" s="1064" t="str" cm="1">
        <f t="array" ref="R44">IF(Cdlac[[#This Row],[Quantity]]&gt;0,INDEX(HudFmrs,$P$18,Cdlac[[#This Row],[Bedrooms]]+1),"")</f>
        <v/>
      </c>
      <c r="S44" s="1064" t="str">
        <f>IF(Cdlac[[#This Row],[Quantity]]&gt;0,MAX(0,Cdlac[[#This Row],[Fair Market Rent]]-IF(AND($G$37,$G$38,$G$38&lt;&gt;"",NOT(Cdlac[[#This Row],[Federal]]),Cdlac[[#This Row],[Preservation Rent]]&lt;&gt;""),Cdlac[[#This Row],[Preservation Rent]],Cdlac[[#This Row],[Restricted Rent]])),"")</f>
        <v/>
      </c>
      <c r="T44" s="1043" t="str">
        <f>IF(Cdlac[[#This Row],[Quantity]]&gt;0,AND(Application!AK742&lt;&gt;"N/A",Application!AK742&lt;&gt;"")*Cdlac[[#This Row],[Quantity]],"")</f>
        <v/>
      </c>
      <c r="U44" s="1043" t="b">
        <f>AND('Subsidy Contract Calculation'!F28&gt;0,OR('Subsidy Contract Calculation'!C28="Federal",'Subsidy Contract Calculation'!C28="Local - Approved by ED"),Cdlac[[#This Row],[Quantity]]&gt;0)</f>
        <v>0</v>
      </c>
    </row>
    <row r="45" spans="1:21" ht="15" customHeight="1">
      <c r="E45" s="1083" t="s">
        <v>1948</v>
      </c>
      <c r="G45" s="1077">
        <f>IFERROR(SUMPRODUCT(Cdlac[Quantity],Cdlac[Delta]),0)</f>
        <v>152495.00000000003</v>
      </c>
      <c r="L45" s="1043" t="str">
        <f>IFERROR(MIN(4,MATCH(Application!B743,UnitSizes,0)-1),"")</f>
        <v/>
      </c>
      <c r="M45" s="1064">
        <f>Application!G743</f>
        <v>0</v>
      </c>
      <c r="N45" s="1070">
        <f>Application!AC743</f>
        <v>0</v>
      </c>
      <c r="O45" s="1070" t="str">
        <f>IF(Cdlac[[#This Row],[Quantity]]&gt;0,IF(Cdlac[[#This Row],[Federal]],30%,IF(AND(OR(NOT($G$38),$G$38=""),$G$43),40%,Cdlac[[#This Row],[iAMI]])),"")</f>
        <v/>
      </c>
      <c r="P45" s="1064" t="str" cm="1">
        <f t="array" ref="P45">IF(Cdlac[[#This Row],[Quantity]]&gt;0,INDEX(TcacRents,$P$18,Cdlac[[#This Row],[Bedrooms]]+1)*Cdlac[[#This Row],[AMI]],"")</f>
        <v/>
      </c>
      <c r="Q45" s="1163"/>
      <c r="R45" s="1064" t="str" cm="1">
        <f t="array" ref="R45">IF(Cdlac[[#This Row],[Quantity]]&gt;0,INDEX(HudFmrs,$P$18,Cdlac[[#This Row],[Bedrooms]]+1),"")</f>
        <v/>
      </c>
      <c r="S45" s="1064" t="str">
        <f>IF(Cdlac[[#This Row],[Quantity]]&gt;0,MAX(0,Cdlac[[#This Row],[Fair Market Rent]]-IF(AND($G$37,$G$38,$G$38&lt;&gt;"",NOT(Cdlac[[#This Row],[Federal]]),Cdlac[[#This Row],[Preservation Rent]]&lt;&gt;""),Cdlac[[#This Row],[Preservation Rent]],Cdlac[[#This Row],[Restricted Rent]])),"")</f>
        <v/>
      </c>
      <c r="T45" s="1043" t="str">
        <f>IF(Cdlac[[#This Row],[Quantity]]&gt;0,AND(Application!AK743&lt;&gt;"N/A",Application!AK743&lt;&gt;"")*Cdlac[[#This Row],[Quantity]],"")</f>
        <v/>
      </c>
      <c r="U45" s="1043" t="b">
        <f>AND('Subsidy Contract Calculation'!F29&gt;0,OR('Subsidy Contract Calculation'!C29="Federal",'Subsidy Contract Calculation'!C29="Local - Approved by ED"),Cdlac[[#This Row],[Quantity]]&gt;0)</f>
        <v>0</v>
      </c>
    </row>
    <row r="46" spans="1:21" ht="15" customHeight="1">
      <c r="E46" s="1116" t="s">
        <v>2004</v>
      </c>
      <c r="F46" s="1112" t="s">
        <v>1992</v>
      </c>
      <c r="G46" s="1120">
        <f>12*15</f>
        <v>180</v>
      </c>
      <c r="L46" s="1043" t="str">
        <f>IFERROR(MIN(4,MATCH(Application!B744,UnitSizes,0)-1),"")</f>
        <v/>
      </c>
      <c r="M46" s="1064">
        <f>Application!G744</f>
        <v>0</v>
      </c>
      <c r="N46" s="1070">
        <f>Application!AC744</f>
        <v>0</v>
      </c>
      <c r="O46" s="1070" t="str">
        <f>IF(Cdlac[[#This Row],[Quantity]]&gt;0,IF(Cdlac[[#This Row],[Federal]],30%,IF(AND(OR(NOT($G$38),$G$38=""),$G$43),40%,Cdlac[[#This Row],[iAMI]])),"")</f>
        <v/>
      </c>
      <c r="P46" s="1064" t="str" cm="1">
        <f t="array" ref="P46">IF(Cdlac[[#This Row],[Quantity]]&gt;0,INDEX(TcacRents,$P$18,Cdlac[[#This Row],[Bedrooms]]+1)*Cdlac[[#This Row],[AMI]],"")</f>
        <v/>
      </c>
      <c r="Q46" s="1163"/>
      <c r="R46" s="1064" t="str" cm="1">
        <f t="array" ref="R46">IF(Cdlac[[#This Row],[Quantity]]&gt;0,INDEX(HudFmrs,$P$18,Cdlac[[#This Row],[Bedrooms]]+1),"")</f>
        <v/>
      </c>
      <c r="S46" s="1064" t="str">
        <f>IF(Cdlac[[#This Row],[Quantity]]&gt;0,MAX(0,Cdlac[[#This Row],[Fair Market Rent]]-IF(AND($G$37,$G$38,$G$38&lt;&gt;"",NOT(Cdlac[[#This Row],[Federal]]),Cdlac[[#This Row],[Preservation Rent]]&lt;&gt;""),Cdlac[[#This Row],[Preservation Rent]],Cdlac[[#This Row],[Restricted Rent]])),"")</f>
        <v/>
      </c>
      <c r="T46" s="1043" t="str">
        <f>IF(Cdlac[[#This Row],[Quantity]]&gt;0,AND(Application!AK744&lt;&gt;"N/A",Application!AK744&lt;&gt;"")*Cdlac[[#This Row],[Quantity]],"")</f>
        <v/>
      </c>
      <c r="U46" s="1043" t="b">
        <f>AND('Subsidy Contract Calculation'!F30&gt;0,OR('Subsidy Contract Calculation'!C30="Federal",'Subsidy Contract Calculation'!C30="Local - Approved by ED"),Cdlac[[#This Row],[Quantity]]&gt;0)</f>
        <v>0</v>
      </c>
    </row>
    <row r="47" spans="1:21" ht="15" customHeight="1">
      <c r="E47" s="1121" t="s">
        <v>1943</v>
      </c>
      <c r="F47" s="1045"/>
      <c r="G47" s="1122">
        <f>G45*G46</f>
        <v>27449100.000000004</v>
      </c>
      <c r="L47" s="1043" t="str">
        <f>IFERROR(MIN(4,MATCH(Application!B745,UnitSizes,0)-1),"")</f>
        <v/>
      </c>
      <c r="M47" s="1064">
        <f>Application!G745</f>
        <v>0</v>
      </c>
      <c r="N47" s="1070">
        <f>Application!AC745</f>
        <v>0</v>
      </c>
      <c r="O47" s="1070" t="str">
        <f>IF(Cdlac[[#This Row],[Quantity]]&gt;0,IF(Cdlac[[#This Row],[Federal]],30%,IF(AND(OR(NOT($G$38),$G$38=""),$G$43),40%,Cdlac[[#This Row],[iAMI]])),"")</f>
        <v/>
      </c>
      <c r="P47" s="1064" t="str" cm="1">
        <f t="array" ref="P47">IF(Cdlac[[#This Row],[Quantity]]&gt;0,INDEX(TcacRents,$P$18,Cdlac[[#This Row],[Bedrooms]]+1)*Cdlac[[#This Row],[AMI]],"")</f>
        <v/>
      </c>
      <c r="Q47" s="1163"/>
      <c r="R47" s="1064" t="str" cm="1">
        <f t="array" ref="R47">IF(Cdlac[[#This Row],[Quantity]]&gt;0,INDEX(HudFmrs,$P$18,Cdlac[[#This Row],[Bedrooms]]+1),"")</f>
        <v/>
      </c>
      <c r="S47" s="1064" t="str">
        <f>IF(Cdlac[[#This Row],[Quantity]]&gt;0,MAX(0,Cdlac[[#This Row],[Fair Market Rent]]-IF(AND($G$37,$G$38,$G$38&lt;&gt;"",NOT(Cdlac[[#This Row],[Federal]]),Cdlac[[#This Row],[Preservation Rent]]&lt;&gt;""),Cdlac[[#This Row],[Preservation Rent]],Cdlac[[#This Row],[Restricted Rent]])),"")</f>
        <v/>
      </c>
      <c r="T47" s="1043" t="str">
        <f>IF(Cdlac[[#This Row],[Quantity]]&gt;0,AND(Application!AK745&lt;&gt;"N/A",Application!AK745&lt;&gt;"")*Cdlac[[#This Row],[Quantity]],"")</f>
        <v/>
      </c>
      <c r="U47" s="1043" t="b">
        <f>AND('Subsidy Contract Calculation'!F31&gt;0,OR('Subsidy Contract Calculation'!C31="Federal",'Subsidy Contract Calculation'!C31="Local - Approved by ED"),Cdlac[[#This Row],[Quantity]]&gt;0)</f>
        <v>0</v>
      </c>
    </row>
    <row r="48" spans="1:21" ht="15" customHeight="1">
      <c r="L48" s="1043" t="str">
        <f>IFERROR(MIN(4,MATCH(Application!B746,UnitSizes,0)-1),"")</f>
        <v/>
      </c>
      <c r="M48" s="1064">
        <f>Application!G746</f>
        <v>0</v>
      </c>
      <c r="N48" s="1070">
        <f>Application!AC746</f>
        <v>0</v>
      </c>
      <c r="O48" s="1070" t="str">
        <f>IF(Cdlac[[#This Row],[Quantity]]&gt;0,IF(Cdlac[[#This Row],[Federal]],30%,IF(AND(OR(NOT($G$38),$G$38=""),$G$43),40%,Cdlac[[#This Row],[iAMI]])),"")</f>
        <v/>
      </c>
      <c r="P48" s="1064" t="str" cm="1">
        <f t="array" ref="P48">IF(Cdlac[[#This Row],[Quantity]]&gt;0,INDEX(TcacRents,$P$18,Cdlac[[#This Row],[Bedrooms]]+1)*Cdlac[[#This Row],[AMI]],"")</f>
        <v/>
      </c>
      <c r="Q48" s="1163"/>
      <c r="R48" s="1064" t="str" cm="1">
        <f t="array" ref="R48">IF(Cdlac[[#This Row],[Quantity]]&gt;0,INDEX(HudFmrs,$P$18,Cdlac[[#This Row],[Bedrooms]]+1),"")</f>
        <v/>
      </c>
      <c r="S48" s="1064" t="str">
        <f>IF(Cdlac[[#This Row],[Quantity]]&gt;0,MAX(0,Cdlac[[#This Row],[Fair Market Rent]]-IF(AND($G$37,$G$38,$G$38&lt;&gt;"",NOT(Cdlac[[#This Row],[Federal]]),Cdlac[[#This Row],[Preservation Rent]]&lt;&gt;""),Cdlac[[#This Row],[Preservation Rent]],Cdlac[[#This Row],[Restricted Rent]])),"")</f>
        <v/>
      </c>
      <c r="T48" s="1043" t="str">
        <f>IF(Cdlac[[#This Row],[Quantity]]&gt;0,AND(Application!AK746&lt;&gt;"N/A",Application!AK746&lt;&gt;"")*Cdlac[[#This Row],[Quantity]],"")</f>
        <v/>
      </c>
      <c r="U48" s="1043" t="b">
        <f>AND('Subsidy Contract Calculation'!F32&gt;0,OR('Subsidy Contract Calculation'!C32="Federal",'Subsidy Contract Calculation'!C32="Local - Approved by ED"),Cdlac[[#This Row],[Quantity]]&gt;0)</f>
        <v>0</v>
      </c>
    </row>
    <row r="49" spans="2:21" ht="15" customHeight="1">
      <c r="B49" s="1065" t="str">
        <f>B11&amp;": "&amp;B12</f>
        <v>C. Population Benefit: (1) Special Needs Population Benefit</v>
      </c>
      <c r="C49" s="1066"/>
      <c r="D49" s="1066"/>
      <c r="E49" s="1066"/>
      <c r="F49" s="1066"/>
      <c r="G49" s="1066"/>
      <c r="H49" s="1066"/>
      <c r="I49" s="1067"/>
      <c r="L49" s="1043" t="str">
        <f>IFERROR(MIN(4,MATCH(Application!B747,UnitSizes,0)-1),"")</f>
        <v/>
      </c>
      <c r="M49" s="1064">
        <f>Application!G747</f>
        <v>0</v>
      </c>
      <c r="N49" s="1070">
        <f>Application!AC747</f>
        <v>0</v>
      </c>
      <c r="O49" s="1070" t="str">
        <f>IF(Cdlac[[#This Row],[Quantity]]&gt;0,IF(Cdlac[[#This Row],[Federal]],30%,IF(AND(OR(NOT($G$38),$G$38=""),$G$43),40%,Cdlac[[#This Row],[iAMI]])),"")</f>
        <v/>
      </c>
      <c r="P49" s="1064" t="str" cm="1">
        <f t="array" ref="P49">IF(Cdlac[[#This Row],[Quantity]]&gt;0,INDEX(TcacRents,$P$18,Cdlac[[#This Row],[Bedrooms]]+1)*Cdlac[[#This Row],[AMI]],"")</f>
        <v/>
      </c>
      <c r="Q49" s="1163"/>
      <c r="R49" s="1064" t="str" cm="1">
        <f t="array" ref="R49">IF(Cdlac[[#This Row],[Quantity]]&gt;0,INDEX(HudFmrs,$P$18,Cdlac[[#This Row],[Bedrooms]]+1),"")</f>
        <v/>
      </c>
      <c r="S49" s="1064" t="str">
        <f>IF(Cdlac[[#This Row],[Quantity]]&gt;0,MAX(0,Cdlac[[#This Row],[Fair Market Rent]]-IF(AND($G$37,$G$38,$G$38&lt;&gt;"",NOT(Cdlac[[#This Row],[Federal]]),Cdlac[[#This Row],[Preservation Rent]]&lt;&gt;""),Cdlac[[#This Row],[Preservation Rent]],Cdlac[[#This Row],[Restricted Rent]])),"")</f>
        <v/>
      </c>
      <c r="T49" s="1043" t="str">
        <f>IF(Cdlac[[#This Row],[Quantity]]&gt;0,AND(Application!AK747&lt;&gt;"N/A",Application!AK747&lt;&gt;"")*Cdlac[[#This Row],[Quantity]],"")</f>
        <v/>
      </c>
      <c r="U49" s="1043" t="b">
        <f>AND('Subsidy Contract Calculation'!F33&gt;0,OR('Subsidy Contract Calculation'!C33="Federal",'Subsidy Contract Calculation'!C33="Local - Approved by ED"),Cdlac[[#This Row],[Quantity]]&gt;0)</f>
        <v>0</v>
      </c>
    </row>
    <row r="50" spans="2:21" ht="15" customHeight="1">
      <c r="L50" s="1043" t="str">
        <f>IFERROR(MIN(4,MATCH(Application!B748,UnitSizes,0)-1),"")</f>
        <v/>
      </c>
      <c r="M50" s="1064">
        <f>Application!G748</f>
        <v>0</v>
      </c>
      <c r="N50" s="1070">
        <f>Application!AC748</f>
        <v>0</v>
      </c>
      <c r="O50" s="1070" t="str">
        <f>IF(Cdlac[[#This Row],[Quantity]]&gt;0,IF(Cdlac[[#This Row],[Federal]],30%,IF(AND(OR(NOT($G$38),$G$38=""),$G$43),40%,Cdlac[[#This Row],[iAMI]])),"")</f>
        <v/>
      </c>
      <c r="P50" s="1064" t="str" cm="1">
        <f t="array" ref="P50">IF(Cdlac[[#This Row],[Quantity]]&gt;0,INDEX(TcacRents,$P$18,Cdlac[[#This Row],[Bedrooms]]+1)*Cdlac[[#This Row],[AMI]],"")</f>
        <v/>
      </c>
      <c r="Q50" s="1163"/>
      <c r="R50" s="1064" t="str" cm="1">
        <f t="array" ref="R50">IF(Cdlac[[#This Row],[Quantity]]&gt;0,INDEX(HudFmrs,$P$18,Cdlac[[#This Row],[Bedrooms]]+1),"")</f>
        <v/>
      </c>
      <c r="S50" s="1064" t="str">
        <f>IF(Cdlac[[#This Row],[Quantity]]&gt;0,MAX(0,Cdlac[[#This Row],[Fair Market Rent]]-IF(AND($G$37,$G$38,$G$38&lt;&gt;"",NOT(Cdlac[[#This Row],[Federal]]),Cdlac[[#This Row],[Preservation Rent]]&lt;&gt;""),Cdlac[[#This Row],[Preservation Rent]],Cdlac[[#This Row],[Restricted Rent]])),"")</f>
        <v/>
      </c>
      <c r="T50" s="1043" t="str">
        <f>IF(Cdlac[[#This Row],[Quantity]]&gt;0,AND(Application!AK748&lt;&gt;"N/A",Application!AK748&lt;&gt;"")*Cdlac[[#This Row],[Quantity]],"")</f>
        <v/>
      </c>
      <c r="U50" s="1043" t="b">
        <f>AND('Subsidy Contract Calculation'!F34&gt;0,OR('Subsidy Contract Calculation'!C34="Federal",'Subsidy Contract Calculation'!C34="Local - Approved by ED"),Cdlac[[#This Row],[Quantity]]&gt;0)</f>
        <v>0</v>
      </c>
    </row>
    <row r="51" spans="2:21" ht="15" customHeight="1">
      <c r="E51" s="1116" t="s">
        <v>1993</v>
      </c>
      <c r="G51" s="1113">
        <f>T18</f>
        <v>0</v>
      </c>
      <c r="L51" s="1043" t="str">
        <f>IFERROR(MIN(4,MATCH(Application!B749,UnitSizes,0)-1),"")</f>
        <v/>
      </c>
      <c r="M51" s="1064">
        <f>Application!G749</f>
        <v>0</v>
      </c>
      <c r="N51" s="1070">
        <f>Application!AC749</f>
        <v>0</v>
      </c>
      <c r="O51" s="1070" t="str">
        <f>IF(Cdlac[[#This Row],[Quantity]]&gt;0,IF(Cdlac[[#This Row],[Federal]],30%,IF(AND(OR(NOT($G$38),$G$38=""),$G$43),40%,Cdlac[[#This Row],[iAMI]])),"")</f>
        <v/>
      </c>
      <c r="P51" s="1064" t="str" cm="1">
        <f t="array" ref="P51">IF(Cdlac[[#This Row],[Quantity]]&gt;0,INDEX(TcacRents,$P$18,Cdlac[[#This Row],[Bedrooms]]+1)*Cdlac[[#This Row],[AMI]],"")</f>
        <v/>
      </c>
      <c r="Q51" s="1163"/>
      <c r="R51" s="1064" t="str" cm="1">
        <f t="array" ref="R51">IF(Cdlac[[#This Row],[Quantity]]&gt;0,INDEX(HudFmrs,$P$18,Cdlac[[#This Row],[Bedrooms]]+1),"")</f>
        <v/>
      </c>
      <c r="S51" s="1064" t="str">
        <f>IF(Cdlac[[#This Row],[Quantity]]&gt;0,MAX(0,Cdlac[[#This Row],[Fair Market Rent]]-IF(AND($G$37,$G$38,$G$38&lt;&gt;"",NOT(Cdlac[[#This Row],[Federal]]),Cdlac[[#This Row],[Preservation Rent]]&lt;&gt;""),Cdlac[[#This Row],[Preservation Rent]],Cdlac[[#This Row],[Restricted Rent]])),"")</f>
        <v/>
      </c>
      <c r="T51" s="1043" t="str">
        <f>IF(Cdlac[[#This Row],[Quantity]]&gt;0,AND(Application!AK749&lt;&gt;"N/A",Application!AK749&lt;&gt;"")*Cdlac[[#This Row],[Quantity]],"")</f>
        <v/>
      </c>
      <c r="U51" s="1043" t="b">
        <f>AND('Subsidy Contract Calculation'!F35&gt;0,OR('Subsidy Contract Calculation'!C35="Federal",'Subsidy Contract Calculation'!C35="Local - Approved by ED"),Cdlac[[#This Row],[Quantity]]&gt;0)</f>
        <v>0</v>
      </c>
    </row>
    <row r="52" spans="2:21" ht="15" customHeight="1">
      <c r="E52" s="1116" t="s">
        <v>1994</v>
      </c>
      <c r="G52" s="1113">
        <f>ROUNDDOWN(E29*50%,0)</f>
        <v>195</v>
      </c>
      <c r="L52" s="1043" t="str">
        <f>IFERROR(MIN(4,MATCH(Application!B750,UnitSizes,0)-1),"")</f>
        <v/>
      </c>
      <c r="M52" s="1064">
        <f>Application!G750</f>
        <v>0</v>
      </c>
      <c r="N52" s="1070">
        <f>Application!AC750</f>
        <v>0</v>
      </c>
      <c r="O52" s="1070" t="str">
        <f>IF(Cdlac[[#This Row],[Quantity]]&gt;0,IF(Cdlac[[#This Row],[Federal]],30%,IF(AND(OR(NOT($G$38),$G$38=""),$G$43),40%,Cdlac[[#This Row],[iAMI]])),"")</f>
        <v/>
      </c>
      <c r="P52" s="1064" t="str" cm="1">
        <f t="array" ref="P52">IF(Cdlac[[#This Row],[Quantity]]&gt;0,INDEX(TcacRents,$P$18,Cdlac[[#This Row],[Bedrooms]]+1)*Cdlac[[#This Row],[AMI]],"")</f>
        <v/>
      </c>
      <c r="Q52" s="1163"/>
      <c r="R52" s="1064" t="str" cm="1">
        <f t="array" ref="R52">IF(Cdlac[[#This Row],[Quantity]]&gt;0,INDEX(HudFmrs,$P$18,Cdlac[[#This Row],[Bedrooms]]+1),"")</f>
        <v/>
      </c>
      <c r="S52" s="1064" t="str">
        <f>IF(Cdlac[[#This Row],[Quantity]]&gt;0,MAX(0,Cdlac[[#This Row],[Fair Market Rent]]-IF(AND($G$37,$G$38,$G$38&lt;&gt;"",NOT(Cdlac[[#This Row],[Federal]]),Cdlac[[#This Row],[Preservation Rent]]&lt;&gt;""),Cdlac[[#This Row],[Preservation Rent]],Cdlac[[#This Row],[Restricted Rent]])),"")</f>
        <v/>
      </c>
      <c r="T52" s="1043" t="str">
        <f>IF(Cdlac[[#This Row],[Quantity]]&gt;0,AND(Application!AK750&lt;&gt;"N/A",Application!AK750&lt;&gt;"")*Cdlac[[#This Row],[Quantity]],"")</f>
        <v/>
      </c>
      <c r="U52" s="1043" t="b">
        <f>AND('Subsidy Contract Calculation'!F36&gt;0,OR('Subsidy Contract Calculation'!C36="Federal",'Subsidy Contract Calculation'!C36="Local - Approved by ED"),Cdlac[[#This Row],[Quantity]]&gt;0)</f>
        <v>0</v>
      </c>
    </row>
    <row r="53" spans="2:21" ht="15" customHeight="1">
      <c r="E53" s="1116"/>
      <c r="G53" s="1124"/>
      <c r="L53" s="1043" t="str">
        <f>IFERROR(MIN(4,MATCH(Application!B751,UnitSizes,0)-1),"")</f>
        <v/>
      </c>
      <c r="M53" s="1064">
        <f>Application!G751</f>
        <v>0</v>
      </c>
      <c r="N53" s="1070">
        <f>Application!AC751</f>
        <v>0</v>
      </c>
      <c r="O53" s="1070" t="str">
        <f>IF(Cdlac[[#This Row],[Quantity]]&gt;0,IF(Cdlac[[#This Row],[Federal]],30%,IF(AND(OR(NOT($G$38),$G$38=""),$G$43),40%,Cdlac[[#This Row],[iAMI]])),"")</f>
        <v/>
      </c>
      <c r="P53" s="1064" t="str" cm="1">
        <f t="array" ref="P53">IF(Cdlac[[#This Row],[Quantity]]&gt;0,INDEX(TcacRents,$P$18,Cdlac[[#This Row],[Bedrooms]]+1)*Cdlac[[#This Row],[AMI]],"")</f>
        <v/>
      </c>
      <c r="Q53" s="1163"/>
      <c r="R53" s="1064" t="str" cm="1">
        <f t="array" ref="R53">IF(Cdlac[[#This Row],[Quantity]]&gt;0,INDEX(HudFmrs,$P$18,Cdlac[[#This Row],[Bedrooms]]+1),"")</f>
        <v/>
      </c>
      <c r="S53" s="1064" t="str">
        <f>IF(Cdlac[[#This Row],[Quantity]]&gt;0,MAX(0,Cdlac[[#This Row],[Fair Market Rent]]-IF(AND($G$37,$G$38,$G$38&lt;&gt;"",NOT(Cdlac[[#This Row],[Federal]]),Cdlac[[#This Row],[Preservation Rent]]&lt;&gt;""),Cdlac[[#This Row],[Preservation Rent]],Cdlac[[#This Row],[Restricted Rent]])),"")</f>
        <v/>
      </c>
      <c r="T53" s="1043" t="str">
        <f>IF(Cdlac[[#This Row],[Quantity]]&gt;0,AND(Application!AK751&lt;&gt;"N/A",Application!AK751&lt;&gt;"")*Cdlac[[#This Row],[Quantity]],"")</f>
        <v/>
      </c>
      <c r="U53" s="1043" t="b">
        <f>AND('Subsidy Contract Calculation'!F37&gt;0,OR('Subsidy Contract Calculation'!C37="Federal",'Subsidy Contract Calculation'!C37="Local - Approved by ED"),Cdlac[[#This Row],[Quantity]]&gt;0)</f>
        <v>0</v>
      </c>
    </row>
    <row r="54" spans="2:21" ht="15" customHeight="1">
      <c r="E54" s="1116" t="s">
        <v>1954</v>
      </c>
      <c r="G54" s="1113">
        <f>MIN(G51:G52)</f>
        <v>0</v>
      </c>
      <c r="L54" s="1043" t="str">
        <f>IFERROR(MIN(4,MATCH(Application!B752,UnitSizes,0)-1),"")</f>
        <v/>
      </c>
      <c r="M54" s="1064">
        <f>Application!G752</f>
        <v>0</v>
      </c>
      <c r="N54" s="1070">
        <f>Application!AC752</f>
        <v>0</v>
      </c>
      <c r="O54" s="1070" t="str">
        <f>IF(Cdlac[[#This Row],[Quantity]]&gt;0,IF(Cdlac[[#This Row],[Federal]],30%,IF(AND(OR(NOT($G$38),$G$38=""),$G$43),40%,Cdlac[[#This Row],[iAMI]])),"")</f>
        <v/>
      </c>
      <c r="P54" s="1064" t="str" cm="1">
        <f t="array" ref="P54">IF(Cdlac[[#This Row],[Quantity]]&gt;0,INDEX(TcacRents,$P$18,Cdlac[[#This Row],[Bedrooms]]+1)*Cdlac[[#This Row],[AMI]],"")</f>
        <v/>
      </c>
      <c r="Q54" s="1163"/>
      <c r="R54" s="1064" t="str" cm="1">
        <f t="array" ref="R54">IF(Cdlac[[#This Row],[Quantity]]&gt;0,INDEX(HudFmrs,$P$18,Cdlac[[#This Row],[Bedrooms]]+1),"")</f>
        <v/>
      </c>
      <c r="S54" s="1064" t="str">
        <f>IF(Cdlac[[#This Row],[Quantity]]&gt;0,MAX(0,Cdlac[[#This Row],[Fair Market Rent]]-IF(AND($G$37,$G$38,$G$38&lt;&gt;"",NOT(Cdlac[[#This Row],[Federal]]),Cdlac[[#This Row],[Preservation Rent]]&lt;&gt;""),Cdlac[[#This Row],[Preservation Rent]],Cdlac[[#This Row],[Restricted Rent]])),"")</f>
        <v/>
      </c>
      <c r="T54" s="1043" t="str">
        <f>IF(Cdlac[[#This Row],[Quantity]]&gt;0,AND(Application!AK752&lt;&gt;"N/A",Application!AK752&lt;&gt;"")*Cdlac[[#This Row],[Quantity]],"")</f>
        <v/>
      </c>
      <c r="U54" s="1043" t="b">
        <f>AND('Subsidy Contract Calculation'!F38&gt;0,OR('Subsidy Contract Calculation'!C38="Federal",'Subsidy Contract Calculation'!C38="Local - Approved by ED"),Cdlac[[#This Row],[Quantity]]&gt;0)</f>
        <v>0</v>
      </c>
    </row>
    <row r="55" spans="2:21" ht="15" customHeight="1">
      <c r="E55" s="1116" t="s">
        <v>1944</v>
      </c>
      <c r="F55" s="1112" t="s">
        <v>1992</v>
      </c>
      <c r="G55" s="1123">
        <v>10000</v>
      </c>
      <c r="M55" s="1064"/>
      <c r="N55" s="1070"/>
      <c r="O55" s="1070"/>
      <c r="P55" s="1064"/>
      <c r="Q55" s="1163"/>
      <c r="R55" s="1064"/>
      <c r="S55" s="1064"/>
    </row>
    <row r="56" spans="2:21" ht="15" customHeight="1">
      <c r="E56" s="1117" t="s">
        <v>1977</v>
      </c>
      <c r="F56" s="1045"/>
      <c r="G56" s="1122">
        <f>G54*G55</f>
        <v>0</v>
      </c>
    </row>
    <row r="57" spans="2:21" ht="15" customHeight="1"/>
    <row r="58" spans="2:21" ht="15" customHeight="1">
      <c r="B58" s="1065" t="str">
        <f>B11&amp;": "&amp;B13</f>
        <v>C. Population Benefit: (2) Extremely Low Income Benefit</v>
      </c>
      <c r="C58" s="1066"/>
      <c r="D58" s="1066"/>
      <c r="E58" s="1066"/>
      <c r="F58" s="1066"/>
      <c r="G58" s="1066"/>
      <c r="H58" s="1066"/>
      <c r="I58" s="1067"/>
    </row>
    <row r="59" spans="2:21" ht="15" customHeight="1"/>
    <row r="60" spans="2:21" ht="15" customHeight="1">
      <c r="E60" s="1116" t="s">
        <v>1995</v>
      </c>
      <c r="G60" s="1078">
        <f>SUMIFS(Cdlac[Quantity],Cdlac[iAMI],"&lt;=30%")</f>
        <v>43</v>
      </c>
    </row>
    <row r="61" spans="2:21" ht="15" customHeight="1">
      <c r="E61" s="1116" t="s">
        <v>1994</v>
      </c>
      <c r="G61" s="1078">
        <f>ROUNDDOWN(E29*50%,0)</f>
        <v>195</v>
      </c>
    </row>
    <row r="62" spans="2:21" ht="15" customHeight="1">
      <c r="E62" s="1116"/>
      <c r="G62" s="1078"/>
    </row>
    <row r="63" spans="2:21" ht="15" customHeight="1">
      <c r="E63" s="1116" t="s">
        <v>1954</v>
      </c>
      <c r="G63" s="1113">
        <f>MIN(G60:G61)</f>
        <v>43</v>
      </c>
    </row>
    <row r="64" spans="2:21" ht="15" customHeight="1">
      <c r="E64" s="1116" t="s">
        <v>1944</v>
      </c>
      <c r="F64" s="1112" t="s">
        <v>1992</v>
      </c>
      <c r="G64" s="1123">
        <v>20000</v>
      </c>
    </row>
    <row r="65" spans="2:14" ht="15" customHeight="1">
      <c r="E65" s="1117" t="s">
        <v>1976</v>
      </c>
      <c r="F65" s="1045"/>
      <c r="G65" s="1122">
        <f>G63*G64</f>
        <v>860000</v>
      </c>
    </row>
    <row r="66" spans="2:14" ht="15" customHeight="1"/>
    <row r="67" spans="2:14" ht="15" customHeight="1">
      <c r="B67" s="1065" t="str">
        <f>B14&amp;": "&amp;B15</f>
        <v>D. Location Benefit: (1) Resource Area Benefit</v>
      </c>
      <c r="C67" s="1066"/>
      <c r="D67" s="1066"/>
      <c r="E67" s="1066"/>
      <c r="F67" s="1066"/>
      <c r="G67" s="1066"/>
      <c r="H67" s="1066"/>
      <c r="I67" s="1067"/>
    </row>
    <row r="68" spans="2:14" ht="15" customHeight="1"/>
    <row r="69" spans="2:14" ht="15" customHeight="1">
      <c r="C69" s="1076" t="s">
        <v>1980</v>
      </c>
      <c r="G69" s="1042" t="s">
        <v>545</v>
      </c>
    </row>
    <row r="70" spans="2:14" ht="15" customHeight="1">
      <c r="C70" s="1076" t="s">
        <v>1981</v>
      </c>
      <c r="G70" s="1080" t="str">
        <f>IF(Application!D211="Large Family","Yes","No")</f>
        <v>No</v>
      </c>
    </row>
    <row r="71" spans="2:14" ht="15" customHeight="1" thickBot="1">
      <c r="C71" s="1076" t="s">
        <v>1967</v>
      </c>
      <c r="G71" s="1042" t="s">
        <v>669</v>
      </c>
    </row>
    <row r="72" spans="2:14" ht="15" customHeight="1">
      <c r="C72" s="1076" t="s">
        <v>1968</v>
      </c>
      <c r="G72" s="1043" t="str">
        <f>Application!T193</f>
        <v>Low Resource</v>
      </c>
      <c r="L72" s="2659" t="s">
        <v>1969</v>
      </c>
      <c r="M72" s="2660"/>
      <c r="N72" s="1130">
        <v>30000</v>
      </c>
    </row>
    <row r="73" spans="2:14" ht="15" customHeight="1">
      <c r="C73" s="2661" t="s">
        <v>2262</v>
      </c>
      <c r="D73" s="2661"/>
      <c r="E73" s="2661"/>
      <c r="F73" s="2661"/>
      <c r="G73" s="1042" t="s">
        <v>669</v>
      </c>
      <c r="L73" s="2676" t="s">
        <v>1937</v>
      </c>
      <c r="M73" s="2677"/>
      <c r="N73" s="1131">
        <v>20000</v>
      </c>
    </row>
    <row r="74" spans="2:14" ht="15" customHeight="1" thickBot="1">
      <c r="C74" s="2661"/>
      <c r="D74" s="2661"/>
      <c r="E74" s="2661"/>
      <c r="F74" s="2661"/>
      <c r="L74" s="2651" t="s">
        <v>1970</v>
      </c>
      <c r="M74" s="2652"/>
      <c r="N74" s="1132">
        <v>10000</v>
      </c>
    </row>
    <row r="75" spans="2:14" ht="15" customHeight="1">
      <c r="C75" s="1076"/>
    </row>
    <row r="76" spans="2:14" ht="15" customHeight="1">
      <c r="E76" s="1083" t="s">
        <v>1999</v>
      </c>
      <c r="G76" s="1078" t="b">
        <f>OR(AND(COUNTIFS(G70:G71,"Yes")&gt;=1,G69="Yes"),G73="Yes")</f>
        <v>0</v>
      </c>
    </row>
    <row r="77" spans="2:14" ht="15" customHeight="1">
      <c r="E77" s="1083"/>
      <c r="G77" s="1078"/>
    </row>
    <row r="78" spans="2:14" ht="15" customHeight="1">
      <c r="E78" s="1083" t="s">
        <v>1944</v>
      </c>
      <c r="G78" s="1077">
        <f>IFERROR(IF($G$73="Yes",30000,INDEX(N72:N74,MATCH(LEFT(G72,17),L72:L74,0))),0)</f>
        <v>0</v>
      </c>
    </row>
    <row r="79" spans="2:14" ht="15" customHeight="1">
      <c r="E79" s="1083" t="str">
        <f>E96</f>
        <v>Bedroom-Adjusted Low-Income Units</v>
      </c>
      <c r="F79" s="1112" t="s">
        <v>1992</v>
      </c>
      <c r="G79" s="1113">
        <f>G29</f>
        <v>397.5</v>
      </c>
    </row>
    <row r="80" spans="2:14" ht="15" customHeight="1">
      <c r="D80" s="1045"/>
      <c r="E80" s="1117" t="s">
        <v>2267</v>
      </c>
      <c r="F80" s="1045"/>
      <c r="G80" s="1122">
        <f>G79*G78*G76</f>
        <v>0</v>
      </c>
    </row>
    <row r="81" spans="2:9" ht="15" customHeight="1"/>
    <row r="82" spans="2:9" ht="15" customHeight="1">
      <c r="B82" s="1065" t="str">
        <f>B14&amp;": "&amp;B16</f>
        <v>D. Location Benefit: (2) Community Revitalization Benefit</v>
      </c>
      <c r="C82" s="1066"/>
      <c r="D82" s="1066"/>
      <c r="E82" s="1066"/>
      <c r="F82" s="1066"/>
      <c r="G82" s="1066"/>
      <c r="H82" s="1066"/>
      <c r="I82" s="1067"/>
    </row>
    <row r="83" spans="2:9" ht="15" customHeight="1"/>
    <row r="84" spans="2:9" ht="15" customHeight="1">
      <c r="F84" s="1115" t="s">
        <v>1975</v>
      </c>
      <c r="G84" s="1042" t="s">
        <v>545</v>
      </c>
    </row>
    <row r="85" spans="2:9" ht="15" customHeight="1">
      <c r="F85" s="1115"/>
    </row>
    <row r="86" spans="2:9" ht="15" customHeight="1">
      <c r="E86" s="1083" t="s">
        <v>1999</v>
      </c>
      <c r="G86" s="1078" t="b">
        <f>G84="Yes"</f>
        <v>1</v>
      </c>
    </row>
    <row r="87" spans="2:9" ht="15" customHeight="1"/>
    <row r="88" spans="2:9" ht="15" customHeight="1">
      <c r="E88" s="1083" t="str">
        <f>E96</f>
        <v>Bedroom-Adjusted Low-Income Units</v>
      </c>
      <c r="G88" s="1113">
        <f>G29</f>
        <v>397.5</v>
      </c>
    </row>
    <row r="89" spans="2:9" ht="15" customHeight="1">
      <c r="E89" s="1083" t="s">
        <v>1944</v>
      </c>
      <c r="F89" s="1112" t="s">
        <v>1992</v>
      </c>
      <c r="G89" s="1049">
        <v>20000</v>
      </c>
    </row>
    <row r="90" spans="2:9" ht="15" customHeight="1">
      <c r="E90" s="1117" t="s">
        <v>2271</v>
      </c>
      <c r="F90" s="1045"/>
      <c r="G90" s="1122">
        <f>G86*G89*G88</f>
        <v>7950000</v>
      </c>
    </row>
    <row r="91" spans="2:9" ht="15" customHeight="1"/>
    <row r="92" spans="2:9" ht="15" customHeight="1">
      <c r="B92" s="1065" t="str">
        <f>B14&amp;": "&amp;B17</f>
        <v>D. Location Benefit: (3) Transit/Walkability Benefit</v>
      </c>
      <c r="C92" s="1066"/>
      <c r="D92" s="1066"/>
      <c r="E92" s="1066"/>
      <c r="F92" s="1066"/>
      <c r="G92" s="1066"/>
      <c r="H92" s="1066"/>
      <c r="I92" s="1067"/>
    </row>
    <row r="93" spans="2:9" ht="15" customHeight="1"/>
    <row r="94" spans="2:9" ht="15" customHeight="1">
      <c r="E94" s="1083" t="s">
        <v>1955</v>
      </c>
      <c r="G94" s="1113">
        <f>VLOOKUP('Points System'!$H$606,'Points System'!$AO$586:$AP$591,2,FALSE)</f>
        <v>7</v>
      </c>
    </row>
    <row r="95" spans="2:9" ht="15" customHeight="1">
      <c r="E95" s="1083" t="s">
        <v>1944</v>
      </c>
      <c r="F95" s="1112" t="s">
        <v>1992</v>
      </c>
      <c r="G95" s="1075">
        <v>4000</v>
      </c>
    </row>
    <row r="96" spans="2:9" ht="15" customHeight="1" thickBot="1">
      <c r="E96" s="1083" t="s">
        <v>1996</v>
      </c>
      <c r="F96" s="1112" t="s">
        <v>1992</v>
      </c>
      <c r="G96" s="1125">
        <f>G29</f>
        <v>397.5</v>
      </c>
    </row>
    <row r="97" spans="2:14" ht="15" customHeight="1">
      <c r="E97" s="1117" t="s">
        <v>1961</v>
      </c>
      <c r="F97" s="1045"/>
      <c r="G97" s="1122">
        <f>G94*G95*G96</f>
        <v>11130000</v>
      </c>
      <c r="L97" s="1126" t="str">
        <f>'Points System'!H638</f>
        <v>(i)</v>
      </c>
      <c r="M97" s="2657" t="s">
        <v>1404</v>
      </c>
      <c r="N97" s="2658"/>
    </row>
    <row r="98" spans="2:14" ht="15" customHeight="1">
      <c r="C98" s="1076"/>
      <c r="G98" s="1113"/>
      <c r="L98" s="1127" t="str">
        <f>'Points System'!H650</f>
        <v>(i)</v>
      </c>
      <c r="M98" s="2653" t="s">
        <v>1956</v>
      </c>
      <c r="N98" s="2654"/>
    </row>
    <row r="99" spans="2:14" ht="15" customHeight="1">
      <c r="E99" s="1083" t="s">
        <v>1997</v>
      </c>
      <c r="G99" s="1125">
        <f>COUNTIFS(L97:L104,"(i)")</f>
        <v>4</v>
      </c>
      <c r="L99" s="1127" t="str">
        <f>'Points System'!H685</f>
        <v>(i)</v>
      </c>
      <c r="M99" s="2653" t="s">
        <v>1957</v>
      </c>
      <c r="N99" s="2654"/>
    </row>
    <row r="100" spans="2:14" ht="15" customHeight="1">
      <c r="E100" s="1083" t="s">
        <v>1944</v>
      </c>
      <c r="F100" s="1112" t="s">
        <v>1992</v>
      </c>
      <c r="G100" s="1123">
        <v>4000</v>
      </c>
      <c r="L100" s="1127" t="str">
        <f>IF(OR('Points System'!H709="(ii)",'Points System'!H709="(i)"),"(i)","N/A")</f>
        <v>(i)</v>
      </c>
      <c r="M100" s="2653" t="s">
        <v>1958</v>
      </c>
      <c r="N100" s="2654"/>
    </row>
    <row r="101" spans="2:14" ht="15" customHeight="1">
      <c r="E101" s="1117" t="s">
        <v>1962</v>
      </c>
      <c r="F101" s="1045"/>
      <c r="G101" s="1122">
        <f>G96*G99*G100</f>
        <v>6360000</v>
      </c>
      <c r="L101" s="1128" t="str">
        <f>'Points System'!H723</f>
        <v>N/A</v>
      </c>
      <c r="M101" s="2653" t="s">
        <v>1430</v>
      </c>
      <c r="N101" s="2654"/>
    </row>
    <row r="102" spans="2:14" ht="15" customHeight="1">
      <c r="L102" s="1127" t="str">
        <f>'Points System'!H735</f>
        <v>N/A</v>
      </c>
      <c r="M102" s="2653" t="s">
        <v>1959</v>
      </c>
      <c r="N102" s="2654"/>
    </row>
    <row r="103" spans="2:14" ht="15" customHeight="1">
      <c r="C103" s="1079" t="s">
        <v>1964</v>
      </c>
      <c r="L103" s="1127" t="str">
        <f>'Points System'!H751</f>
        <v>(ii)</v>
      </c>
      <c r="M103" s="2653" t="s">
        <v>1960</v>
      </c>
      <c r="N103" s="2654"/>
    </row>
    <row r="104" spans="2:14" ht="15" customHeight="1" thickBot="1">
      <c r="C104" s="1076" t="s">
        <v>1965</v>
      </c>
      <c r="G104" s="1042"/>
      <c r="L104" s="1129" t="str">
        <f>'Points System'!H763</f>
        <v>(ii)</v>
      </c>
      <c r="M104" s="2655" t="s">
        <v>1433</v>
      </c>
      <c r="N104" s="2656"/>
    </row>
    <row r="105" spans="2:14" ht="15" customHeight="1">
      <c r="C105" s="1076" t="s">
        <v>1966</v>
      </c>
      <c r="G105" s="1042"/>
    </row>
    <row r="106" spans="2:14" ht="15" customHeight="1">
      <c r="C106" s="1076" t="s">
        <v>2139</v>
      </c>
      <c r="G106" s="1042" t="s">
        <v>545</v>
      </c>
    </row>
    <row r="107" spans="2:14" ht="15" customHeight="1">
      <c r="C107" s="1076" t="s">
        <v>2140</v>
      </c>
      <c r="G107" s="1042"/>
    </row>
    <row r="108" spans="2:14" ht="15" customHeight="1"/>
    <row r="109" spans="2:14" ht="15" customHeight="1">
      <c r="B109" s="1077"/>
      <c r="C109" s="1076"/>
      <c r="E109" s="1083" t="s">
        <v>1999</v>
      </c>
      <c r="G109" s="1078" t="b">
        <f>COUNTIFS(G104:G107,"Yes")&gt;=1</f>
        <v>1</v>
      </c>
    </row>
    <row r="110" spans="2:14" ht="15" customHeight="1">
      <c r="E110" s="1076"/>
    </row>
    <row r="111" spans="2:14" ht="15" customHeight="1">
      <c r="E111" s="1083" t="s">
        <v>1996</v>
      </c>
      <c r="F111" s="1112" t="s">
        <v>1992</v>
      </c>
      <c r="G111" s="1113">
        <f>G29</f>
        <v>397.5</v>
      </c>
    </row>
    <row r="112" spans="2:14" ht="15" customHeight="1">
      <c r="E112" s="1083" t="s">
        <v>1944</v>
      </c>
      <c r="F112" s="1112" t="s">
        <v>1992</v>
      </c>
      <c r="G112" s="1123">
        <v>25000</v>
      </c>
    </row>
    <row r="113" spans="2:9" ht="15" customHeight="1">
      <c r="E113" s="1117" t="s">
        <v>1963</v>
      </c>
      <c r="F113" s="1045"/>
      <c r="G113" s="1122">
        <f>G109*G112*G96</f>
        <v>9937500</v>
      </c>
    </row>
    <row r="114" spans="2:9" ht="15" customHeight="1">
      <c r="C114" s="1076"/>
      <c r="E114" s="1076"/>
    </row>
    <row r="115" spans="2:9" ht="15" customHeight="1">
      <c r="E115" s="1117" t="s">
        <v>2272</v>
      </c>
      <c r="G115" s="1122">
        <f>G113+G101+G97</f>
        <v>27427500</v>
      </c>
    </row>
    <row r="116" spans="2:9" ht="15" customHeight="1"/>
    <row r="117" spans="2:9" ht="15" customHeight="1">
      <c r="B117" s="1065" t="s">
        <v>139</v>
      </c>
      <c r="C117" s="1066"/>
      <c r="D117" s="1066"/>
      <c r="E117" s="1066"/>
      <c r="F117" s="1066"/>
      <c r="G117" s="1066"/>
      <c r="H117" s="1066"/>
      <c r="I117" s="1067"/>
    </row>
    <row r="118" spans="2:9" ht="15" customHeight="1"/>
    <row r="119" spans="2:9" ht="15" customHeight="1">
      <c r="C119" s="2688" t="s">
        <v>2227</v>
      </c>
      <c r="D119" s="2688"/>
      <c r="E119" s="2688"/>
      <c r="F119" s="2688"/>
    </row>
    <row r="120" spans="2:9" ht="15" customHeight="1">
      <c r="C120" s="2688"/>
      <c r="D120" s="2688"/>
      <c r="E120" s="2688"/>
      <c r="F120" s="2688"/>
      <c r="G120" s="1042"/>
    </row>
    <row r="121" spans="2:9" ht="15" customHeight="1"/>
    <row r="122" spans="2:9" ht="15" customHeight="1">
      <c r="C122" s="1043" t="s">
        <v>2229</v>
      </c>
      <c r="G122" s="2690"/>
      <c r="H122" s="2690"/>
    </row>
    <row r="123" spans="2:9" ht="15" customHeight="1">
      <c r="G123" s="2690"/>
      <c r="H123" s="2690"/>
    </row>
    <row r="124" spans="2:9" ht="15" customHeight="1">
      <c r="G124" s="2691"/>
      <c r="H124" s="2691"/>
    </row>
    <row r="125" spans="2:9" ht="15" customHeight="1">
      <c r="G125" s="1159"/>
      <c r="H125" s="1159"/>
    </row>
    <row r="126" spans="2:9" ht="15" customHeight="1">
      <c r="B126" s="1065" t="s">
        <v>2001</v>
      </c>
      <c r="C126" s="1066"/>
      <c r="D126" s="1066"/>
      <c r="E126" s="1066"/>
      <c r="F126" s="1066"/>
      <c r="G126" s="1066"/>
      <c r="H126" s="1066"/>
      <c r="I126" s="1067"/>
    </row>
    <row r="128" spans="2:9">
      <c r="E128" s="1083" t="s">
        <v>582</v>
      </c>
      <c r="G128" s="1043" t="str">
        <f>IF(Application!T189="","",Application!T189)</f>
        <v>Los Angeles</v>
      </c>
    </row>
    <row r="129" spans="2:9">
      <c r="E129" s="1083"/>
      <c r="G129" s="1077"/>
    </row>
    <row r="130" spans="2:9">
      <c r="E130" s="1083" t="str">
        <f>"2-Bedroom "&amp;G128&amp;" County Basis Limit"</f>
        <v>2-Bedroom Los Angeles County Basis Limit</v>
      </c>
      <c r="G130" s="1077">
        <f>Application!R988</f>
        <v>608800</v>
      </c>
    </row>
    <row r="131" spans="2:9">
      <c r="E131" s="1083" t="s">
        <v>2000</v>
      </c>
      <c r="G131" s="1077">
        <f>MEDIAN((Application!CU160:CU217))</f>
        <v>489600</v>
      </c>
    </row>
    <row r="132" spans="2:9" ht="15">
      <c r="D132" s="1045"/>
      <c r="E132" s="1117" t="s">
        <v>2002</v>
      </c>
      <c r="F132" s="1133"/>
      <c r="G132" s="1134">
        <f>((G130-G131)/G131)*0.25</f>
        <v>6.0866013071895424E-2</v>
      </c>
      <c r="H132" s="1041"/>
      <c r="I132" s="1041"/>
    </row>
    <row r="133" spans="2:9">
      <c r="D133" s="1044"/>
      <c r="E133" s="1044"/>
    </row>
    <row r="134" spans="2:9" ht="15">
      <c r="B134" s="1065" t="s">
        <v>2273</v>
      </c>
      <c r="C134" s="1066"/>
      <c r="D134" s="1066"/>
      <c r="E134" s="1066"/>
      <c r="F134" s="1066"/>
      <c r="G134" s="1066"/>
      <c r="H134" s="1066"/>
      <c r="I134" s="1067"/>
    </row>
    <row r="136" spans="2:9">
      <c r="E136" s="1083" t="s">
        <v>2259</v>
      </c>
      <c r="G136" s="1043" t="b">
        <f>G37</f>
        <v>0</v>
      </c>
    </row>
    <row r="137" spans="2:9">
      <c r="E137" s="1083" t="s">
        <v>2274</v>
      </c>
      <c r="G137" s="1043" t="b">
        <f>OR('Points System'!B52="Yes", 'Points System'!B56="Yes",'Points System'!B58="Yes")</f>
        <v>0</v>
      </c>
    </row>
    <row r="138" spans="2:9">
      <c r="C138" s="2685" t="s">
        <v>2275</v>
      </c>
      <c r="D138" s="2685"/>
      <c r="E138" s="2685"/>
      <c r="F138" s="2685"/>
    </row>
    <row r="139" spans="2:9">
      <c r="B139" s="1044"/>
      <c r="C139" s="2685"/>
      <c r="D139" s="2685"/>
      <c r="E139" s="2685"/>
      <c r="F139" s="2685"/>
      <c r="G139" s="1042"/>
    </row>
    <row r="140" spans="2:9">
      <c r="B140" s="1044"/>
      <c r="C140" s="1044"/>
      <c r="D140" s="1044"/>
      <c r="E140" s="1044"/>
      <c r="F140" s="1044"/>
    </row>
    <row r="141" spans="2:9" ht="14.25" customHeight="1">
      <c r="E141" s="1083" t="s">
        <v>2277</v>
      </c>
      <c r="G141" s="1168"/>
    </row>
    <row r="143" spans="2:9">
      <c r="E143" s="1083" t="s">
        <v>2279</v>
      </c>
      <c r="G143" s="1167">
        <f>IF(I9=0,0,G141/I9)</f>
        <v>0</v>
      </c>
    </row>
    <row r="144" spans="2:9">
      <c r="E144" s="1083" t="s">
        <v>2276</v>
      </c>
      <c r="G144" s="1165">
        <f>I9*0.15</f>
        <v>8625000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6"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25"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2" t="s">
        <v>909</v>
      </c>
      <c r="B1" s="2692"/>
      <c r="C1" s="2692"/>
      <c r="D1" s="2692"/>
      <c r="E1" s="2692"/>
      <c r="F1" s="2692"/>
      <c r="G1" s="2692"/>
      <c r="H1" s="2692"/>
      <c r="I1" s="2692"/>
      <c r="J1" s="2692"/>
      <c r="K1" s="204"/>
      <c r="L1" s="204"/>
    </row>
    <row r="2" spans="1:12">
      <c r="A2" s="210"/>
      <c r="B2" s="210"/>
      <c r="C2" s="210"/>
      <c r="D2" s="210"/>
      <c r="E2" s="210"/>
      <c r="F2" s="210"/>
      <c r="G2" s="210"/>
      <c r="H2" s="210"/>
      <c r="I2" s="210"/>
      <c r="J2" s="210"/>
    </row>
    <row r="3" spans="1:12" ht="100.5">
      <c r="A3" s="426" t="s">
        <v>910</v>
      </c>
      <c r="B3" s="426" t="s">
        <v>2254</v>
      </c>
      <c r="C3" s="426" t="s">
        <v>2255</v>
      </c>
      <c r="D3" s="1145" t="s">
        <v>2256</v>
      </c>
      <c r="E3" s="204"/>
      <c r="F3" s="1145" t="s">
        <v>911</v>
      </c>
      <c r="G3" s="426" t="s">
        <v>912</v>
      </c>
      <c r="H3" s="427"/>
      <c r="I3" s="426" t="s">
        <v>913</v>
      </c>
      <c r="J3" s="426" t="s">
        <v>914</v>
      </c>
      <c r="K3" s="204"/>
      <c r="L3" s="305"/>
    </row>
    <row r="4" spans="1:12">
      <c r="A4" s="428" t="str">
        <f>Application!B718</f>
        <v>1 Bedroom</v>
      </c>
      <c r="B4" s="1081">
        <f>Application!G718</f>
        <v>43</v>
      </c>
      <c r="C4" s="1161"/>
      <c r="D4" s="428">
        <f>Application!O718</f>
        <v>809</v>
      </c>
      <c r="E4" s="429"/>
      <c r="F4" s="1082"/>
      <c r="G4" s="428">
        <f>F4*B4</f>
        <v>0</v>
      </c>
      <c r="H4" s="429"/>
      <c r="I4" s="428" t="str">
        <f t="shared" ref="I4:I27" si="0">IF(F4=0,"",(F4-D4))</f>
        <v/>
      </c>
      <c r="J4" s="428" t="str">
        <f t="shared" ref="J4:J27" si="1">IF(F4=0,"",(I4*B4))</f>
        <v/>
      </c>
      <c r="K4" s="204"/>
      <c r="L4" s="305"/>
    </row>
    <row r="5" spans="1:12">
      <c r="A5" s="428" t="str">
        <f>Application!B719</f>
        <v>1 Bedroom</v>
      </c>
      <c r="B5" s="1081">
        <f>Application!G719</f>
        <v>33</v>
      </c>
      <c r="C5" s="1161"/>
      <c r="D5" s="428">
        <f>Application!O719</f>
        <v>1377</v>
      </c>
      <c r="E5" s="429"/>
      <c r="F5" s="1082"/>
      <c r="G5" s="428">
        <f t="shared" ref="G5:G38" si="2">F5*B5</f>
        <v>0</v>
      </c>
      <c r="H5" s="429"/>
      <c r="I5" s="428" t="str">
        <f t="shared" si="0"/>
        <v/>
      </c>
      <c r="J5" s="428" t="str">
        <f t="shared" si="1"/>
        <v/>
      </c>
      <c r="K5" s="204"/>
      <c r="L5" s="305"/>
    </row>
    <row r="6" spans="1:12">
      <c r="A6" s="428" t="str">
        <f>Application!B720</f>
        <v>1 Bedroom</v>
      </c>
      <c r="B6" s="1081">
        <f>Application!G720</f>
        <v>131</v>
      </c>
      <c r="C6" s="1161"/>
      <c r="D6" s="428">
        <f>Application!O720</f>
        <v>1661</v>
      </c>
      <c r="E6" s="429"/>
      <c r="F6" s="1082"/>
      <c r="G6" s="428">
        <f t="shared" si="2"/>
        <v>0</v>
      </c>
      <c r="H6" s="429"/>
      <c r="I6" s="428" t="str">
        <f t="shared" si="0"/>
        <v/>
      </c>
      <c r="J6" s="428" t="str">
        <f t="shared" si="1"/>
        <v/>
      </c>
      <c r="K6" s="204"/>
      <c r="L6" s="305"/>
    </row>
    <row r="7" spans="1:12">
      <c r="A7" s="428" t="str">
        <f>Application!B721</f>
        <v>1 Bedroom</v>
      </c>
      <c r="B7" s="1081">
        <f>Application!G721</f>
        <v>158</v>
      </c>
      <c r="C7" s="1161"/>
      <c r="D7" s="428">
        <f>Application!O721</f>
        <v>1944.9999999999998</v>
      </c>
      <c r="E7" s="429"/>
      <c r="F7" s="1082"/>
      <c r="G7" s="428">
        <f t="shared" si="2"/>
        <v>0</v>
      </c>
      <c r="H7" s="429"/>
      <c r="I7" s="428" t="str">
        <f t="shared" si="0"/>
        <v/>
      </c>
      <c r="J7" s="428" t="str">
        <f t="shared" si="1"/>
        <v/>
      </c>
      <c r="K7" s="204"/>
      <c r="L7" s="305"/>
    </row>
    <row r="8" spans="1:12">
      <c r="A8" s="428" t="str">
        <f>Application!B722</f>
        <v>2 Bedrooms</v>
      </c>
      <c r="B8" s="1081">
        <f>Application!G722</f>
        <v>3</v>
      </c>
      <c r="C8" s="1161"/>
      <c r="D8" s="428">
        <f>Application!O722</f>
        <v>1647</v>
      </c>
      <c r="E8" s="429"/>
      <c r="F8" s="1082"/>
      <c r="G8" s="428">
        <f t="shared" si="2"/>
        <v>0</v>
      </c>
      <c r="H8" s="429"/>
      <c r="I8" s="428" t="str">
        <f t="shared" si="0"/>
        <v/>
      </c>
      <c r="J8" s="428" t="str">
        <f t="shared" si="1"/>
        <v/>
      </c>
      <c r="K8" s="204"/>
      <c r="L8" s="305"/>
    </row>
    <row r="9" spans="1:12">
      <c r="A9" s="428" t="str">
        <f>Application!B723</f>
        <v>2 Bedrooms</v>
      </c>
      <c r="B9" s="1081">
        <f>Application!G723</f>
        <v>16</v>
      </c>
      <c r="C9" s="1161"/>
      <c r="D9" s="428">
        <f>Application!O723</f>
        <v>1987.6</v>
      </c>
      <c r="E9" s="429"/>
      <c r="F9" s="1082"/>
      <c r="G9" s="428">
        <f t="shared" si="2"/>
        <v>0</v>
      </c>
      <c r="H9" s="429"/>
      <c r="I9" s="428" t="str">
        <f t="shared" si="0"/>
        <v/>
      </c>
      <c r="J9" s="428" t="str">
        <f t="shared" si="1"/>
        <v/>
      </c>
      <c r="K9" s="204"/>
      <c r="L9" s="305"/>
    </row>
    <row r="10" spans="1:12">
      <c r="A10" s="428" t="str">
        <f>Application!B724</f>
        <v>2 Bedrooms</v>
      </c>
      <c r="B10" s="1081">
        <f>Application!G724</f>
        <v>7</v>
      </c>
      <c r="C10" s="1161"/>
      <c r="D10" s="428">
        <f>Application!O724</f>
        <v>2329</v>
      </c>
      <c r="E10" s="429"/>
      <c r="F10" s="1082"/>
      <c r="G10" s="428">
        <f t="shared" si="2"/>
        <v>0</v>
      </c>
      <c r="H10" s="429"/>
      <c r="I10" s="428" t="str">
        <f t="shared" si="0"/>
        <v/>
      </c>
      <c r="J10" s="428" t="str">
        <f t="shared" si="1"/>
        <v/>
      </c>
      <c r="K10" s="204"/>
      <c r="L10" s="305"/>
    </row>
    <row r="11" spans="1:12">
      <c r="A11" s="428">
        <f>Application!B725</f>
        <v>0</v>
      </c>
      <c r="B11" s="1081">
        <f>Application!G725</f>
        <v>0</v>
      </c>
      <c r="C11" s="1161"/>
      <c r="D11" s="428">
        <f>Application!O725</f>
        <v>0</v>
      </c>
      <c r="E11" s="429"/>
      <c r="F11" s="1082"/>
      <c r="G11" s="428">
        <f t="shared" si="2"/>
        <v>0</v>
      </c>
      <c r="H11" s="429"/>
      <c r="I11" s="428" t="str">
        <f t="shared" si="0"/>
        <v/>
      </c>
      <c r="J11" s="428" t="str">
        <f t="shared" si="1"/>
        <v/>
      </c>
      <c r="K11" s="204"/>
      <c r="L11" s="305"/>
    </row>
    <row r="12" spans="1:12">
      <c r="A12" s="428">
        <f>Application!B726</f>
        <v>0</v>
      </c>
      <c r="B12" s="1081">
        <f>Application!G726</f>
        <v>0</v>
      </c>
      <c r="C12" s="1161"/>
      <c r="D12" s="428">
        <f>Application!O726</f>
        <v>0</v>
      </c>
      <c r="E12" s="429"/>
      <c r="F12" s="1082"/>
      <c r="G12" s="428">
        <f t="shared" si="2"/>
        <v>0</v>
      </c>
      <c r="H12" s="429"/>
      <c r="I12" s="428" t="str">
        <f t="shared" si="0"/>
        <v/>
      </c>
      <c r="J12" s="428" t="str">
        <f t="shared" si="1"/>
        <v/>
      </c>
      <c r="K12" s="204"/>
      <c r="L12" s="305"/>
    </row>
    <row r="13" spans="1:12">
      <c r="A13" s="428">
        <f>Application!B727</f>
        <v>0</v>
      </c>
      <c r="B13" s="1081">
        <f>Application!G727</f>
        <v>0</v>
      </c>
      <c r="C13" s="1161"/>
      <c r="D13" s="428">
        <f>Application!O727</f>
        <v>0</v>
      </c>
      <c r="E13" s="429"/>
      <c r="F13" s="1082"/>
      <c r="G13" s="428">
        <f t="shared" si="2"/>
        <v>0</v>
      </c>
      <c r="H13" s="429"/>
      <c r="I13" s="428" t="str">
        <f t="shared" si="0"/>
        <v/>
      </c>
      <c r="J13" s="428" t="str">
        <f t="shared" si="1"/>
        <v/>
      </c>
      <c r="K13" s="204"/>
      <c r="L13" s="305"/>
    </row>
    <row r="14" spans="1:12">
      <c r="A14" s="428">
        <f>Application!B728</f>
        <v>0</v>
      </c>
      <c r="B14" s="1081">
        <f>Application!G728</f>
        <v>0</v>
      </c>
      <c r="C14" s="1161"/>
      <c r="D14" s="428">
        <f>Application!O728</f>
        <v>0</v>
      </c>
      <c r="E14" s="429"/>
      <c r="F14" s="1082"/>
      <c r="G14" s="428">
        <f t="shared" si="2"/>
        <v>0</v>
      </c>
      <c r="H14" s="429"/>
      <c r="I14" s="428" t="str">
        <f t="shared" si="0"/>
        <v/>
      </c>
      <c r="J14" s="428" t="str">
        <f t="shared" si="1"/>
        <v/>
      </c>
      <c r="K14" s="204"/>
      <c r="L14" s="305"/>
    </row>
    <row r="15" spans="1:12">
      <c r="A15" s="428">
        <f>Application!B729</f>
        <v>0</v>
      </c>
      <c r="B15" s="1081">
        <f>Application!G729</f>
        <v>0</v>
      </c>
      <c r="C15" s="1161"/>
      <c r="D15" s="428">
        <f>Application!O729</f>
        <v>0</v>
      </c>
      <c r="E15" s="429"/>
      <c r="F15" s="1082"/>
      <c r="G15" s="428">
        <f t="shared" si="2"/>
        <v>0</v>
      </c>
      <c r="H15" s="429"/>
      <c r="I15" s="428" t="str">
        <f t="shared" si="0"/>
        <v/>
      </c>
      <c r="J15" s="428" t="str">
        <f t="shared" si="1"/>
        <v/>
      </c>
      <c r="K15" s="204"/>
      <c r="L15" s="305"/>
    </row>
    <row r="16" spans="1:12">
      <c r="A16" s="428">
        <f>Application!B730</f>
        <v>0</v>
      </c>
      <c r="B16" s="1081">
        <f>Application!G730</f>
        <v>0</v>
      </c>
      <c r="C16" s="1161"/>
      <c r="D16" s="428">
        <f>Application!O730</f>
        <v>0</v>
      </c>
      <c r="E16" s="429"/>
      <c r="F16" s="1082"/>
      <c r="G16" s="428">
        <f t="shared" si="2"/>
        <v>0</v>
      </c>
      <c r="H16" s="429"/>
      <c r="I16" s="428" t="str">
        <f t="shared" si="0"/>
        <v/>
      </c>
      <c r="J16" s="428" t="str">
        <f t="shared" si="1"/>
        <v/>
      </c>
      <c r="K16" s="204"/>
      <c r="L16" s="305"/>
    </row>
    <row r="17" spans="1:12">
      <c r="A17" s="428">
        <f>Application!B731</f>
        <v>0</v>
      </c>
      <c r="B17" s="1081">
        <f>Application!G731</f>
        <v>0</v>
      </c>
      <c r="C17" s="1161"/>
      <c r="D17" s="428">
        <f>Application!O731</f>
        <v>0</v>
      </c>
      <c r="E17" s="429"/>
      <c r="F17" s="1082"/>
      <c r="G17" s="428">
        <f t="shared" si="2"/>
        <v>0</v>
      </c>
      <c r="H17" s="429"/>
      <c r="I17" s="428" t="str">
        <f t="shared" si="0"/>
        <v/>
      </c>
      <c r="J17" s="428" t="str">
        <f t="shared" si="1"/>
        <v/>
      </c>
      <c r="K17" s="204"/>
      <c r="L17" s="305"/>
    </row>
    <row r="18" spans="1:12">
      <c r="A18" s="428">
        <f>Application!B732</f>
        <v>0</v>
      </c>
      <c r="B18" s="1081">
        <f>Application!G732</f>
        <v>0</v>
      </c>
      <c r="C18" s="1161"/>
      <c r="D18" s="428">
        <f>Application!O732</f>
        <v>0</v>
      </c>
      <c r="E18" s="429"/>
      <c r="F18" s="1082"/>
      <c r="G18" s="428">
        <f t="shared" si="2"/>
        <v>0</v>
      </c>
      <c r="H18" s="429"/>
      <c r="I18" s="428" t="str">
        <f t="shared" si="0"/>
        <v/>
      </c>
      <c r="J18" s="428" t="str">
        <f t="shared" si="1"/>
        <v/>
      </c>
      <c r="K18" s="204"/>
      <c r="L18" s="305"/>
    </row>
    <row r="19" spans="1:12">
      <c r="A19" s="428">
        <f>Application!B733</f>
        <v>0</v>
      </c>
      <c r="B19" s="1081">
        <f>Application!G733</f>
        <v>0</v>
      </c>
      <c r="C19" s="1161"/>
      <c r="D19" s="428">
        <f>Application!O733</f>
        <v>0</v>
      </c>
      <c r="E19" s="429"/>
      <c r="F19" s="1082"/>
      <c r="G19" s="428">
        <f t="shared" si="2"/>
        <v>0</v>
      </c>
      <c r="H19" s="429"/>
      <c r="I19" s="428" t="str">
        <f t="shared" si="0"/>
        <v/>
      </c>
      <c r="J19" s="428" t="str">
        <f t="shared" si="1"/>
        <v/>
      </c>
      <c r="K19" s="204"/>
      <c r="L19" s="305"/>
    </row>
    <row r="20" spans="1:12">
      <c r="A20" s="428">
        <f>Application!B734</f>
        <v>0</v>
      </c>
      <c r="B20" s="1081">
        <f>Application!G734</f>
        <v>0</v>
      </c>
      <c r="C20" s="1161"/>
      <c r="D20" s="428">
        <f>Application!O734</f>
        <v>0</v>
      </c>
      <c r="E20" s="429"/>
      <c r="F20" s="1082"/>
      <c r="G20" s="428">
        <f t="shared" si="2"/>
        <v>0</v>
      </c>
      <c r="H20" s="429"/>
      <c r="I20" s="428" t="str">
        <f t="shared" si="0"/>
        <v/>
      </c>
      <c r="J20" s="428" t="str">
        <f t="shared" si="1"/>
        <v/>
      </c>
      <c r="K20" s="204"/>
      <c r="L20" s="305"/>
    </row>
    <row r="21" spans="1:12">
      <c r="A21" s="428">
        <f>Application!B735</f>
        <v>0</v>
      </c>
      <c r="B21" s="1081">
        <f>Application!G735</f>
        <v>0</v>
      </c>
      <c r="C21" s="1161"/>
      <c r="D21" s="428">
        <f>Application!O735</f>
        <v>0</v>
      </c>
      <c r="E21" s="429"/>
      <c r="F21" s="1082"/>
      <c r="G21" s="428">
        <f t="shared" si="2"/>
        <v>0</v>
      </c>
      <c r="H21" s="429"/>
      <c r="I21" s="428" t="str">
        <f t="shared" si="0"/>
        <v/>
      </c>
      <c r="J21" s="428" t="str">
        <f t="shared" si="1"/>
        <v/>
      </c>
      <c r="K21" s="204"/>
      <c r="L21" s="305"/>
    </row>
    <row r="22" spans="1:12">
      <c r="A22" s="428">
        <f>Application!B736</f>
        <v>0</v>
      </c>
      <c r="B22" s="1081">
        <f>Application!G736</f>
        <v>0</v>
      </c>
      <c r="C22" s="1161"/>
      <c r="D22" s="428">
        <f>Application!O736</f>
        <v>0</v>
      </c>
      <c r="E22" s="429"/>
      <c r="F22" s="1082"/>
      <c r="G22" s="428">
        <f t="shared" si="2"/>
        <v>0</v>
      </c>
      <c r="H22" s="429"/>
      <c r="I22" s="428" t="str">
        <f t="shared" si="0"/>
        <v/>
      </c>
      <c r="J22" s="428" t="str">
        <f t="shared" si="1"/>
        <v/>
      </c>
      <c r="K22" s="204"/>
      <c r="L22" s="305"/>
    </row>
    <row r="23" spans="1:12">
      <c r="A23" s="428">
        <f>Application!B737</f>
        <v>0</v>
      </c>
      <c r="B23" s="1081">
        <f>Application!G737</f>
        <v>0</v>
      </c>
      <c r="C23" s="1161"/>
      <c r="D23" s="428">
        <f>Application!O737</f>
        <v>0</v>
      </c>
      <c r="E23" s="429"/>
      <c r="F23" s="1082"/>
      <c r="G23" s="428">
        <f t="shared" si="2"/>
        <v>0</v>
      </c>
      <c r="H23" s="429"/>
      <c r="I23" s="428" t="str">
        <f t="shared" si="0"/>
        <v/>
      </c>
      <c r="J23" s="428" t="str">
        <f t="shared" si="1"/>
        <v/>
      </c>
      <c r="K23" s="204"/>
      <c r="L23" s="305"/>
    </row>
    <row r="24" spans="1:12">
      <c r="A24" s="428">
        <f>Application!B738</f>
        <v>0</v>
      </c>
      <c r="B24" s="1081">
        <f>Application!G738</f>
        <v>0</v>
      </c>
      <c r="C24" s="1161"/>
      <c r="D24" s="428">
        <f>Application!O738</f>
        <v>0</v>
      </c>
      <c r="E24" s="429"/>
      <c r="F24" s="1082"/>
      <c r="G24" s="428">
        <f t="shared" si="2"/>
        <v>0</v>
      </c>
      <c r="H24" s="429"/>
      <c r="I24" s="428" t="str">
        <f t="shared" si="0"/>
        <v/>
      </c>
      <c r="J24" s="428" t="str">
        <f t="shared" si="1"/>
        <v/>
      </c>
      <c r="K24" s="204"/>
      <c r="L24" s="305"/>
    </row>
    <row r="25" spans="1:12">
      <c r="A25" s="428">
        <f>Application!B739</f>
        <v>0</v>
      </c>
      <c r="B25" s="1081">
        <f>Application!G739</f>
        <v>0</v>
      </c>
      <c r="C25" s="1161"/>
      <c r="D25" s="428">
        <f>Application!O739</f>
        <v>0</v>
      </c>
      <c r="E25" s="429"/>
      <c r="F25" s="1082"/>
      <c r="G25" s="428">
        <f t="shared" si="2"/>
        <v>0</v>
      </c>
      <c r="H25" s="429"/>
      <c r="I25" s="428" t="str">
        <f t="shared" si="0"/>
        <v/>
      </c>
      <c r="J25" s="428" t="str">
        <f t="shared" si="1"/>
        <v/>
      </c>
      <c r="K25" s="204"/>
      <c r="L25" s="305"/>
    </row>
    <row r="26" spans="1:12">
      <c r="A26" s="428">
        <f>Application!B740</f>
        <v>0</v>
      </c>
      <c r="B26" s="1081">
        <f>Application!G740</f>
        <v>0</v>
      </c>
      <c r="C26" s="1161"/>
      <c r="D26" s="428">
        <f>Application!O740</f>
        <v>0</v>
      </c>
      <c r="E26" s="429"/>
      <c r="F26" s="1082"/>
      <c r="G26" s="428">
        <f t="shared" si="2"/>
        <v>0</v>
      </c>
      <c r="H26" s="429"/>
      <c r="I26" s="428" t="str">
        <f t="shared" si="0"/>
        <v/>
      </c>
      <c r="J26" s="428" t="str">
        <f t="shared" si="1"/>
        <v/>
      </c>
      <c r="K26" s="204"/>
      <c r="L26" s="305"/>
    </row>
    <row r="27" spans="1:12">
      <c r="A27" s="428">
        <f>Application!B741</f>
        <v>0</v>
      </c>
      <c r="B27" s="1081">
        <f>Application!G741</f>
        <v>0</v>
      </c>
      <c r="C27" s="1161"/>
      <c r="D27" s="428">
        <f>Application!O741</f>
        <v>0</v>
      </c>
      <c r="E27" s="429"/>
      <c r="F27" s="1082"/>
      <c r="G27" s="428">
        <f t="shared" si="2"/>
        <v>0</v>
      </c>
      <c r="H27" s="429"/>
      <c r="I27" s="428" t="str">
        <f t="shared" si="0"/>
        <v/>
      </c>
      <c r="J27" s="428" t="str">
        <f t="shared" si="1"/>
        <v/>
      </c>
      <c r="K27" s="204"/>
      <c r="L27" s="305"/>
    </row>
    <row r="28" spans="1:12">
      <c r="A28" s="428">
        <f>Application!B742</f>
        <v>0</v>
      </c>
      <c r="B28" s="1081">
        <f>Application!G742</f>
        <v>0</v>
      </c>
      <c r="C28" s="1161"/>
      <c r="D28" s="428">
        <f>Application!O742</f>
        <v>0</v>
      </c>
      <c r="E28" s="429"/>
      <c r="F28" s="1082"/>
      <c r="G28" s="428">
        <f t="shared" si="2"/>
        <v>0</v>
      </c>
      <c r="H28" s="429"/>
      <c r="I28" s="428" t="str">
        <f t="shared" ref="I28:I37" si="3">IF(F28=0,"",(F28-D28))</f>
        <v/>
      </c>
      <c r="J28" s="428" t="str">
        <f t="shared" ref="J28:J37" si="4">IF(F28=0,"",(I28*B28))</f>
        <v/>
      </c>
      <c r="K28" s="204"/>
      <c r="L28" s="305"/>
    </row>
    <row r="29" spans="1:12">
      <c r="A29" s="428">
        <f>Application!B743</f>
        <v>0</v>
      </c>
      <c r="B29" s="1081">
        <f>Application!G743</f>
        <v>0</v>
      </c>
      <c r="C29" s="1161"/>
      <c r="D29" s="428">
        <f>Application!O743</f>
        <v>0</v>
      </c>
      <c r="E29" s="429"/>
      <c r="F29" s="1082"/>
      <c r="G29" s="428">
        <f t="shared" si="2"/>
        <v>0</v>
      </c>
      <c r="H29" s="429"/>
      <c r="I29" s="428" t="str">
        <f t="shared" si="3"/>
        <v/>
      </c>
      <c r="J29" s="428" t="str">
        <f t="shared" si="4"/>
        <v/>
      </c>
      <c r="K29" s="204"/>
      <c r="L29" s="305"/>
    </row>
    <row r="30" spans="1:12">
      <c r="A30" s="428">
        <f>Application!B744</f>
        <v>0</v>
      </c>
      <c r="B30" s="1081">
        <f>Application!G744</f>
        <v>0</v>
      </c>
      <c r="C30" s="1161"/>
      <c r="D30" s="428">
        <f>Application!O744</f>
        <v>0</v>
      </c>
      <c r="E30" s="429"/>
      <c r="F30" s="1082"/>
      <c r="G30" s="428">
        <f t="shared" si="2"/>
        <v>0</v>
      </c>
      <c r="H30" s="429"/>
      <c r="I30" s="428" t="str">
        <f t="shared" si="3"/>
        <v/>
      </c>
      <c r="J30" s="428" t="str">
        <f t="shared" si="4"/>
        <v/>
      </c>
      <c r="K30" s="204"/>
      <c r="L30" s="305"/>
    </row>
    <row r="31" spans="1:12">
      <c r="A31" s="428">
        <f>Application!B745</f>
        <v>0</v>
      </c>
      <c r="B31" s="1081">
        <f>Application!G745</f>
        <v>0</v>
      </c>
      <c r="C31" s="1161"/>
      <c r="D31" s="428">
        <f>Application!O745</f>
        <v>0</v>
      </c>
      <c r="E31" s="429"/>
      <c r="F31" s="1082"/>
      <c r="G31" s="428">
        <f t="shared" si="2"/>
        <v>0</v>
      </c>
      <c r="H31" s="429"/>
      <c r="I31" s="428" t="str">
        <f t="shared" si="3"/>
        <v/>
      </c>
      <c r="J31" s="428" t="str">
        <f t="shared" si="4"/>
        <v/>
      </c>
      <c r="K31" s="204"/>
      <c r="L31" s="305"/>
    </row>
    <row r="32" spans="1:12">
      <c r="A32" s="428">
        <f>Application!B746</f>
        <v>0</v>
      </c>
      <c r="B32" s="1081">
        <f>Application!G746</f>
        <v>0</v>
      </c>
      <c r="C32" s="1161"/>
      <c r="D32" s="428">
        <f>Application!O746</f>
        <v>0</v>
      </c>
      <c r="E32" s="429"/>
      <c r="F32" s="1082"/>
      <c r="G32" s="428">
        <f t="shared" si="2"/>
        <v>0</v>
      </c>
      <c r="H32" s="429"/>
      <c r="I32" s="428" t="str">
        <f t="shared" si="3"/>
        <v/>
      </c>
      <c r="J32" s="428" t="str">
        <f t="shared" si="4"/>
        <v/>
      </c>
      <c r="K32" s="204"/>
      <c r="L32" s="305"/>
    </row>
    <row r="33" spans="1:12">
      <c r="A33" s="428">
        <f>Application!B747</f>
        <v>0</v>
      </c>
      <c r="B33" s="1081">
        <f>Application!G747</f>
        <v>0</v>
      </c>
      <c r="C33" s="1161"/>
      <c r="D33" s="428">
        <f>Application!O747</f>
        <v>0</v>
      </c>
      <c r="E33" s="429"/>
      <c r="F33" s="1082"/>
      <c r="G33" s="428">
        <f t="shared" si="2"/>
        <v>0</v>
      </c>
      <c r="H33" s="429"/>
      <c r="I33" s="428" t="str">
        <f t="shared" si="3"/>
        <v/>
      </c>
      <c r="J33" s="428" t="str">
        <f t="shared" si="4"/>
        <v/>
      </c>
      <c r="K33" s="204"/>
      <c r="L33" s="305"/>
    </row>
    <row r="34" spans="1:12">
      <c r="A34" s="428">
        <f>Application!B748</f>
        <v>0</v>
      </c>
      <c r="B34" s="1081">
        <f>Application!G748</f>
        <v>0</v>
      </c>
      <c r="C34" s="1161"/>
      <c r="D34" s="428">
        <f>Application!O748</f>
        <v>0</v>
      </c>
      <c r="E34" s="429"/>
      <c r="F34" s="1082"/>
      <c r="G34" s="428">
        <f t="shared" si="2"/>
        <v>0</v>
      </c>
      <c r="H34" s="429"/>
      <c r="I34" s="428" t="str">
        <f t="shared" si="3"/>
        <v/>
      </c>
      <c r="J34" s="428" t="str">
        <f t="shared" si="4"/>
        <v/>
      </c>
      <c r="K34" s="204"/>
      <c r="L34" s="305"/>
    </row>
    <row r="35" spans="1:12">
      <c r="A35" s="428">
        <f>Application!B749</f>
        <v>0</v>
      </c>
      <c r="B35" s="1081">
        <f>Application!G749</f>
        <v>0</v>
      </c>
      <c r="C35" s="1161"/>
      <c r="D35" s="428">
        <f>Application!O749</f>
        <v>0</v>
      </c>
      <c r="E35" s="429"/>
      <c r="F35" s="1082"/>
      <c r="G35" s="428">
        <f t="shared" si="2"/>
        <v>0</v>
      </c>
      <c r="H35" s="429"/>
      <c r="I35" s="428" t="str">
        <f t="shared" si="3"/>
        <v/>
      </c>
      <c r="J35" s="428" t="str">
        <f t="shared" si="4"/>
        <v/>
      </c>
      <c r="K35" s="204"/>
      <c r="L35" s="305"/>
    </row>
    <row r="36" spans="1:12">
      <c r="A36" s="428">
        <f>Application!B750</f>
        <v>0</v>
      </c>
      <c r="B36" s="1081">
        <f>Application!G750</f>
        <v>0</v>
      </c>
      <c r="C36" s="1161"/>
      <c r="D36" s="428">
        <f>Application!O750</f>
        <v>0</v>
      </c>
      <c r="E36" s="429"/>
      <c r="F36" s="1082"/>
      <c r="G36" s="428">
        <f t="shared" si="2"/>
        <v>0</v>
      </c>
      <c r="H36" s="429"/>
      <c r="I36" s="428" t="str">
        <f t="shared" si="3"/>
        <v/>
      </c>
      <c r="J36" s="428" t="str">
        <f t="shared" si="4"/>
        <v/>
      </c>
      <c r="K36" s="204"/>
      <c r="L36" s="305"/>
    </row>
    <row r="37" spans="1:12">
      <c r="A37" s="428">
        <f>Application!B751</f>
        <v>0</v>
      </c>
      <c r="B37" s="1081">
        <f>Application!G751</f>
        <v>0</v>
      </c>
      <c r="C37" s="1161"/>
      <c r="D37" s="428">
        <f>Application!O751</f>
        <v>0</v>
      </c>
      <c r="E37" s="429"/>
      <c r="F37" s="1082"/>
      <c r="G37" s="428">
        <f t="shared" si="2"/>
        <v>0</v>
      </c>
      <c r="H37" s="429"/>
      <c r="I37" s="428" t="str">
        <f t="shared" si="3"/>
        <v/>
      </c>
      <c r="J37" s="428" t="str">
        <f t="shared" si="4"/>
        <v/>
      </c>
      <c r="K37" s="204"/>
      <c r="L37" s="305"/>
    </row>
    <row r="38" spans="1:12">
      <c r="A38" s="428">
        <f>Application!B752</f>
        <v>0</v>
      </c>
      <c r="B38" s="1081">
        <f>Application!G752</f>
        <v>0</v>
      </c>
      <c r="C38" s="1161"/>
      <c r="D38" s="428">
        <f>Application!O752</f>
        <v>0</v>
      </c>
      <c r="E38" s="429"/>
      <c r="F38" s="1082"/>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658174.6</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2257</v>
      </c>
    </row>
    <row r="43" spans="1:12">
      <c r="A43" s="2693" t="s">
        <v>2496</v>
      </c>
      <c r="B43" s="2693"/>
      <c r="C43" s="2693"/>
      <c r="D43" s="2693"/>
      <c r="E43" s="2693"/>
      <c r="F43" s="2693"/>
      <c r="G43" s="2693"/>
      <c r="H43" s="2693"/>
      <c r="I43" s="2693"/>
      <c r="J43" s="2693"/>
    </row>
    <row r="44" spans="1:12">
      <c r="A44" s="2693"/>
      <c r="B44" s="2693"/>
      <c r="C44" s="2693"/>
      <c r="D44" s="2693"/>
      <c r="E44" s="2693"/>
      <c r="F44" s="2693"/>
      <c r="G44" s="2693"/>
      <c r="H44" s="2693"/>
      <c r="I44" s="2693"/>
      <c r="J44" s="2693"/>
    </row>
    <row r="45" spans="1:12">
      <c r="A45" s="2693" t="s">
        <v>2258</v>
      </c>
      <c r="B45" s="2693"/>
      <c r="C45" s="2693"/>
      <c r="D45" s="2693"/>
      <c r="E45" s="2693"/>
      <c r="F45" s="2693"/>
      <c r="G45" s="2693"/>
      <c r="H45" s="2693"/>
      <c r="I45" s="2693"/>
      <c r="J45" s="2693"/>
    </row>
    <row r="46" spans="1:12">
      <c r="A46" s="2693"/>
      <c r="B46" s="2693"/>
      <c r="C46" s="2693"/>
      <c r="D46" s="2693"/>
      <c r="E46" s="2693"/>
      <c r="F46" s="2693"/>
      <c r="G46" s="2693"/>
      <c r="H46" s="2693"/>
      <c r="I46" s="2693"/>
      <c r="J46" s="2693"/>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6" zoomScale="90" zoomScaleNormal="90" workbookViewId="0">
      <selection activeCell="AG71" sqref="AG71"/>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2093</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8058895.1999999993</v>
      </c>
      <c r="G4" s="219">
        <f>E4*$C$4</f>
        <v>8260367.5799999982</v>
      </c>
      <c r="I4" s="219">
        <f>G4*$C$4</f>
        <v>8466876.7694999967</v>
      </c>
      <c r="K4" s="219">
        <f>I4*$C$4</f>
        <v>8678548.6887374967</v>
      </c>
      <c r="M4" s="219">
        <f>K4*$C$4</f>
        <v>8895512.405955933</v>
      </c>
      <c r="O4" s="219">
        <f>M4*$C$4</f>
        <v>9117900.2161048297</v>
      </c>
      <c r="Q4" s="219">
        <f>O4*$C$4</f>
        <v>9345847.7215074487</v>
      </c>
      <c r="S4" s="219">
        <f>Q4*$C$4</f>
        <v>9579493.9145451337</v>
      </c>
      <c r="U4" s="219">
        <f>S4*$C$4</f>
        <v>9818981.2624087613</v>
      </c>
      <c r="W4" s="219">
        <f>U4*$C$4</f>
        <v>10064455.793968979</v>
      </c>
      <c r="Y4" s="219">
        <f>W4*$C$4</f>
        <v>10316067.188818203</v>
      </c>
      <c r="AA4" s="219">
        <f>Y4*$C$4</f>
        <v>10573968.868538657</v>
      </c>
      <c r="AC4" s="219">
        <f>AA4*$C$4</f>
        <v>10838318.090252122</v>
      </c>
      <c r="AE4" s="219">
        <f>AC4*$C$4</f>
        <v>11109276.042508423</v>
      </c>
      <c r="AG4" s="219">
        <f>AE4*$C$4</f>
        <v>11387007.943571134</v>
      </c>
    </row>
    <row r="5" spans="1:34" s="210" customFormat="1" ht="14.25">
      <c r="B5" s="210" t="s">
        <v>838</v>
      </c>
      <c r="C5" s="238">
        <f>IF(Application!$D$211="Special Needs",(((0.1*Application!$T$212)+(0.05*(1-Application!$T$212)))),0.05)</f>
        <v>0.05</v>
      </c>
      <c r="E5" s="221">
        <f>-(E4*C5)</f>
        <v>-402944.76</v>
      </c>
      <c r="F5" s="221"/>
      <c r="G5" s="221">
        <f>E5*$C$4</f>
        <v>-413018.37899999996</v>
      </c>
      <c r="H5" s="221"/>
      <c r="I5" s="221">
        <f>G5*$C$4</f>
        <v>-423343.83847499994</v>
      </c>
      <c r="J5" s="221"/>
      <c r="K5" s="221">
        <f>I5*$C$4</f>
        <v>-433927.43443687487</v>
      </c>
      <c r="L5" s="221"/>
      <c r="M5" s="221">
        <f>K5*$C$4</f>
        <v>-444775.62029779673</v>
      </c>
      <c r="N5" s="221"/>
      <c r="O5" s="221">
        <f>M5*$C$4</f>
        <v>-455895.01080524159</v>
      </c>
      <c r="P5" s="221"/>
      <c r="Q5" s="221">
        <f>O5*$C$4</f>
        <v>-467292.38607537257</v>
      </c>
      <c r="R5" s="221"/>
      <c r="S5" s="221">
        <f>Q5*$C$4</f>
        <v>-478974.69572725683</v>
      </c>
      <c r="T5" s="221"/>
      <c r="U5" s="221">
        <f>S5*$C$4</f>
        <v>-490949.06312043819</v>
      </c>
      <c r="V5" s="221"/>
      <c r="W5" s="221">
        <f>U5*$C$4</f>
        <v>-503222.78969844908</v>
      </c>
      <c r="X5" s="221"/>
      <c r="Y5" s="221">
        <f>W5*$C$4</f>
        <v>-515803.35944091028</v>
      </c>
      <c r="Z5" s="221"/>
      <c r="AA5" s="221">
        <f>Y5*$C$4</f>
        <v>-528698.44342693302</v>
      </c>
      <c r="AB5" s="221"/>
      <c r="AC5" s="221">
        <f>AA5*$C$4</f>
        <v>-541915.90451260633</v>
      </c>
      <c r="AD5" s="221"/>
      <c r="AE5" s="221">
        <f>AC5*$C$4</f>
        <v>-555463.80212542147</v>
      </c>
      <c r="AF5" s="221"/>
      <c r="AG5" s="221">
        <f>AE5*$C$4</f>
        <v>-569350.397178557</v>
      </c>
    </row>
    <row r="6" spans="1:34" s="210" customFormat="1" ht="14.25">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529020</v>
      </c>
      <c r="F8" s="222"/>
      <c r="G8" s="222">
        <f>E8*$C$8</f>
        <v>542245.5</v>
      </c>
      <c r="H8" s="222"/>
      <c r="I8" s="222">
        <f>G8*$C$8</f>
        <v>555801.63749999995</v>
      </c>
      <c r="J8" s="222"/>
      <c r="K8" s="222">
        <f>I8*$C$8</f>
        <v>569696.67843749991</v>
      </c>
      <c r="L8" s="222"/>
      <c r="M8" s="222">
        <f>K8*$C$8</f>
        <v>583939.09539843735</v>
      </c>
      <c r="N8" s="222"/>
      <c r="O8" s="222">
        <f>M8*$C$8</f>
        <v>598537.57278339821</v>
      </c>
      <c r="P8" s="222"/>
      <c r="Q8" s="222">
        <f>O8*$C$8</f>
        <v>613501.01210298308</v>
      </c>
      <c r="R8" s="222"/>
      <c r="S8" s="222">
        <f>Q8*$C$8</f>
        <v>628838.53740555758</v>
      </c>
      <c r="T8" s="222"/>
      <c r="U8" s="222">
        <f>S8*$C$8</f>
        <v>644559.50084069651</v>
      </c>
      <c r="V8" s="222"/>
      <c r="W8" s="222">
        <f>U8*$C$8</f>
        <v>660673.48836171383</v>
      </c>
      <c r="X8" s="222"/>
      <c r="Y8" s="222">
        <f>W8*$C$8</f>
        <v>677190.32557075657</v>
      </c>
      <c r="Z8" s="222"/>
      <c r="AA8" s="222">
        <f>Y8*$C$8</f>
        <v>694120.08371002541</v>
      </c>
      <c r="AB8" s="222"/>
      <c r="AC8" s="222">
        <f>AA8*$C$8</f>
        <v>711473.08580277604</v>
      </c>
      <c r="AD8" s="222"/>
      <c r="AE8" s="222">
        <f>AC8*$C$8</f>
        <v>729259.91294784541</v>
      </c>
      <c r="AF8" s="222"/>
      <c r="AG8" s="222">
        <f>AE8*$C$8</f>
        <v>747491.41077154153</v>
      </c>
    </row>
    <row r="9" spans="1:34" s="210" customFormat="1" ht="14.25">
      <c r="B9" s="210" t="s">
        <v>838</v>
      </c>
      <c r="C9" s="238">
        <f>IF(Application!$D$211="Special Needs",(((0.1*Application!$T$212)+(0.05*(1-Application!$T$212)))),0.05)</f>
        <v>0.05</v>
      </c>
      <c r="E9" s="221">
        <f>-E8*$C$9</f>
        <v>-26451</v>
      </c>
      <c r="F9" s="221"/>
      <c r="G9" s="221">
        <f>-G8*$C$9</f>
        <v>-27112.275000000001</v>
      </c>
      <c r="H9" s="221"/>
      <c r="I9" s="221">
        <f>-I8*$C$9</f>
        <v>-27790.081875</v>
      </c>
      <c r="J9" s="221"/>
      <c r="K9" s="221">
        <f>-K8*$C$9</f>
        <v>-28484.833921874997</v>
      </c>
      <c r="L9" s="221"/>
      <c r="M9" s="221">
        <f>-M8*$C$9</f>
        <v>-29196.954769921867</v>
      </c>
      <c r="N9" s="221"/>
      <c r="O9" s="221">
        <f>-O8*$C$9</f>
        <v>-29926.87863916991</v>
      </c>
      <c r="P9" s="221"/>
      <c r="Q9" s="221">
        <f>-Q8*$C$9</f>
        <v>-30675.050605149154</v>
      </c>
      <c r="R9" s="221"/>
      <c r="S9" s="221">
        <f>-S8*$C$9</f>
        <v>-31441.926870277879</v>
      </c>
      <c r="T9" s="221"/>
      <c r="U9" s="221">
        <f>-U8*$C$9</f>
        <v>-32227.975042034828</v>
      </c>
      <c r="V9" s="221"/>
      <c r="W9" s="221">
        <f>-W8*$C$9</f>
        <v>-33033.674418085691</v>
      </c>
      <c r="X9" s="221"/>
      <c r="Y9" s="221">
        <f>-Y8*$C$9</f>
        <v>-33859.516278537827</v>
      </c>
      <c r="Z9" s="221"/>
      <c r="AA9" s="221">
        <f>-AA8*$C$9</f>
        <v>-34706.004185501275</v>
      </c>
      <c r="AB9" s="221"/>
      <c r="AC9" s="221">
        <f>-AC8*$C$9</f>
        <v>-35573.654290138802</v>
      </c>
      <c r="AD9" s="221"/>
      <c r="AE9" s="221">
        <f>-AE8*$C$9</f>
        <v>-36462.995647392272</v>
      </c>
      <c r="AF9" s="221"/>
      <c r="AG9" s="221">
        <f>-AG8*$C$9</f>
        <v>-37374.570538577078</v>
      </c>
    </row>
    <row r="10" spans="1:34" s="210" customFormat="1" ht="14.25">
      <c r="A10" s="1142" t="s">
        <v>2222</v>
      </c>
      <c r="B10" s="1142"/>
      <c r="C10" s="238"/>
      <c r="E10" s="1143"/>
      <c r="F10" s="222"/>
      <c r="G10" s="1143"/>
      <c r="H10" s="222"/>
      <c r="I10" s="1143"/>
      <c r="J10" s="222"/>
      <c r="K10" s="1143"/>
      <c r="L10" s="222"/>
      <c r="M10" s="1143"/>
      <c r="N10" s="222"/>
      <c r="O10" s="1143"/>
      <c r="P10" s="222"/>
      <c r="Q10" s="1143"/>
      <c r="R10" s="222"/>
      <c r="S10" s="1143"/>
      <c r="T10" s="222"/>
      <c r="U10" s="1143"/>
      <c r="V10" s="222"/>
      <c r="W10" s="1143"/>
      <c r="X10" s="222"/>
      <c r="Y10" s="1143"/>
      <c r="Z10" s="222"/>
      <c r="AA10" s="1143"/>
      <c r="AB10" s="222"/>
      <c r="AC10" s="1143"/>
      <c r="AD10" s="222"/>
      <c r="AE10" s="1143"/>
      <c r="AF10" s="222"/>
      <c r="AG10" s="1143"/>
    </row>
    <row r="11" spans="1:34" s="223" customFormat="1" ht="15">
      <c r="A11" s="223" t="s">
        <v>859</v>
      </c>
      <c r="C11" s="216"/>
      <c r="E11" s="223">
        <f>SUM(E4:E10)</f>
        <v>8158519.4399999995</v>
      </c>
      <c r="G11" s="223">
        <f t="shared" ref="G11" si="0">SUM(G4:G10)</f>
        <v>8362482.4259999972</v>
      </c>
      <c r="I11" s="223">
        <f>SUM(I4:I10)</f>
        <v>8571544.4866499957</v>
      </c>
      <c r="K11" s="223">
        <f>SUM(K4:K10)</f>
        <v>8785833.0988162458</v>
      </c>
      <c r="M11" s="223">
        <f>SUM(M4:M10)</f>
        <v>9005478.9262866508</v>
      </c>
      <c r="O11" s="223">
        <f>SUM(O4:O10)</f>
        <v>9230615.8994438164</v>
      </c>
      <c r="Q11" s="223">
        <f>SUM(Q4:Q10)</f>
        <v>9461381.2969299108</v>
      </c>
      <c r="S11" s="223">
        <f>SUM(S4:S10)</f>
        <v>9697915.8293531574</v>
      </c>
      <c r="U11" s="223">
        <f>SUM(U4:U10)</f>
        <v>9940363.725086987</v>
      </c>
      <c r="W11" s="223">
        <f>SUM(W4:W10)</f>
        <v>10188872.818214158</v>
      </c>
      <c r="Y11" s="223">
        <f>SUM(Y4:Y10)</f>
        <v>10443594.638669513</v>
      </c>
      <c r="AA11" s="223">
        <f>SUM(AA4:AA10)</f>
        <v>10704684.504636249</v>
      </c>
      <c r="AC11" s="223">
        <f>SUM(AC4:AC10)</f>
        <v>10972301.617252152</v>
      </c>
      <c r="AE11" s="223">
        <f>SUM(AE4:AE10)</f>
        <v>11246609.157683453</v>
      </c>
      <c r="AG11" s="223">
        <f>SUM(AG4:AG10)</f>
        <v>11527774.386625541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123200.15552099534</v>
      </c>
      <c r="G15" s="219">
        <f>E15*$C$14</f>
        <v>127512.16096423016</v>
      </c>
      <c r="I15" s="219">
        <f>G15*$C$14</f>
        <v>131975.0865979782</v>
      </c>
      <c r="K15" s="219">
        <f>I15*$C$14</f>
        <v>136594.21462890742</v>
      </c>
      <c r="M15" s="219">
        <f>K15*$C$14</f>
        <v>141375.01214091916</v>
      </c>
      <c r="O15" s="219">
        <f>M15*$C$14</f>
        <v>146323.13756585133</v>
      </c>
      <c r="Q15" s="219">
        <f>O15*$C$14</f>
        <v>151444.44738065611</v>
      </c>
      <c r="S15" s="219">
        <f>Q15*$C$14</f>
        <v>156745.00303897908</v>
      </c>
      <c r="U15" s="219">
        <f>S15*$C$14</f>
        <v>162231.07814534334</v>
      </c>
      <c r="W15" s="219">
        <f>U15*$C$14</f>
        <v>167909.16588043034</v>
      </c>
      <c r="Y15" s="219">
        <f>W15*$C$14</f>
        <v>173785.98668624539</v>
      </c>
      <c r="AA15" s="219">
        <f>Y15*$C$14</f>
        <v>179868.49622026397</v>
      </c>
      <c r="AC15" s="219">
        <f>AA15*$C$14</f>
        <v>186163.8935879732</v>
      </c>
      <c r="AE15" s="219">
        <f>AC15*$C$14</f>
        <v>192679.62986355225</v>
      </c>
      <c r="AG15" s="219">
        <f>AE15*$C$14</f>
        <v>199423.41690877656</v>
      </c>
    </row>
    <row r="16" spans="1:34" s="210" customFormat="1" ht="14.25">
      <c r="A16" s="210" t="s">
        <v>344</v>
      </c>
      <c r="C16" s="233"/>
      <c r="E16" s="222">
        <f>Application!W849</f>
        <v>262330.26540000003</v>
      </c>
      <c r="F16" s="222"/>
      <c r="G16" s="222">
        <f t="shared" ref="G16:AG21" si="1">E16*$C$14</f>
        <v>271511.82468900003</v>
      </c>
      <c r="H16" s="222"/>
      <c r="I16" s="222">
        <f t="shared" si="1"/>
        <v>281014.73855311499</v>
      </c>
      <c r="J16" s="222"/>
      <c r="K16" s="222">
        <f t="shared" si="1"/>
        <v>290850.25440247398</v>
      </c>
      <c r="L16" s="222"/>
      <c r="M16" s="222">
        <f t="shared" si="1"/>
        <v>301030.01330656052</v>
      </c>
      <c r="N16" s="222"/>
      <c r="O16" s="222">
        <f t="shared" si="1"/>
        <v>311566.06377229013</v>
      </c>
      <c r="P16" s="222"/>
      <c r="Q16" s="222">
        <f t="shared" si="1"/>
        <v>322470.87600432028</v>
      </c>
      <c r="R16" s="222"/>
      <c r="S16" s="222">
        <f t="shared" si="1"/>
        <v>333757.35666447144</v>
      </c>
      <c r="T16" s="222"/>
      <c r="U16" s="222">
        <f t="shared" si="1"/>
        <v>345438.8641477279</v>
      </c>
      <c r="V16" s="222"/>
      <c r="W16" s="222">
        <f t="shared" si="1"/>
        <v>357529.22439289832</v>
      </c>
      <c r="X16" s="222"/>
      <c r="Y16" s="222">
        <f t="shared" si="1"/>
        <v>370042.74724664976</v>
      </c>
      <c r="Z16" s="222"/>
      <c r="AA16" s="222">
        <f t="shared" si="1"/>
        <v>382994.24340028246</v>
      </c>
      <c r="AB16" s="222"/>
      <c r="AC16" s="222">
        <f t="shared" si="1"/>
        <v>396399.0419192923</v>
      </c>
      <c r="AD16" s="222"/>
      <c r="AE16" s="222">
        <f t="shared" si="1"/>
        <v>410273.00838646753</v>
      </c>
      <c r="AF16" s="222"/>
      <c r="AG16" s="222">
        <f t="shared" si="1"/>
        <v>424632.56367999385</v>
      </c>
    </row>
    <row r="17" spans="1:33" s="210" customFormat="1" ht="14.25">
      <c r="A17" s="210" t="s">
        <v>561</v>
      </c>
      <c r="C17" s="233"/>
      <c r="E17" s="222">
        <f>Application!W855</f>
        <v>308100</v>
      </c>
      <c r="F17" s="222"/>
      <c r="G17" s="222">
        <f t="shared" si="1"/>
        <v>318883.5</v>
      </c>
      <c r="H17" s="222"/>
      <c r="I17" s="222">
        <f t="shared" si="1"/>
        <v>330044.42249999999</v>
      </c>
      <c r="J17" s="222"/>
      <c r="K17" s="222">
        <f t="shared" si="1"/>
        <v>341595.97728749993</v>
      </c>
      <c r="L17" s="222"/>
      <c r="M17" s="222">
        <f t="shared" si="1"/>
        <v>353551.83649256238</v>
      </c>
      <c r="N17" s="222"/>
      <c r="O17" s="222">
        <f t="shared" si="1"/>
        <v>365926.15076980204</v>
      </c>
      <c r="P17" s="222"/>
      <c r="Q17" s="222">
        <f t="shared" si="1"/>
        <v>378733.56604674511</v>
      </c>
      <c r="R17" s="222"/>
      <c r="S17" s="222">
        <f t="shared" si="1"/>
        <v>391989.24085838115</v>
      </c>
      <c r="T17" s="222"/>
      <c r="U17" s="222">
        <f t="shared" si="1"/>
        <v>405708.86428842443</v>
      </c>
      <c r="V17" s="222"/>
      <c r="W17" s="222">
        <f t="shared" si="1"/>
        <v>419908.67453851923</v>
      </c>
      <c r="X17" s="222"/>
      <c r="Y17" s="222">
        <f t="shared" si="1"/>
        <v>434605.47814736736</v>
      </c>
      <c r="Z17" s="222"/>
      <c r="AA17" s="222">
        <f t="shared" si="1"/>
        <v>449816.66988252517</v>
      </c>
      <c r="AB17" s="222"/>
      <c r="AC17" s="222">
        <f t="shared" si="1"/>
        <v>465560.25332841353</v>
      </c>
      <c r="AD17" s="222"/>
      <c r="AE17" s="222">
        <f t="shared" si="1"/>
        <v>481854.86219490797</v>
      </c>
      <c r="AF17" s="222"/>
      <c r="AG17" s="222">
        <f t="shared" si="1"/>
        <v>498719.78237172973</v>
      </c>
    </row>
    <row r="18" spans="1:33" s="210" customFormat="1" ht="14.25">
      <c r="A18" s="210" t="s">
        <v>842</v>
      </c>
      <c r="C18" s="233"/>
      <c r="E18" s="222">
        <f>Application!W862</f>
        <v>761490.96</v>
      </c>
      <c r="F18" s="222"/>
      <c r="G18" s="222">
        <f t="shared" si="1"/>
        <v>788143.14359999995</v>
      </c>
      <c r="H18" s="222"/>
      <c r="I18" s="222">
        <f t="shared" si="1"/>
        <v>815728.15362599993</v>
      </c>
      <c r="J18" s="222"/>
      <c r="K18" s="222">
        <f t="shared" si="1"/>
        <v>844278.63900290988</v>
      </c>
      <c r="L18" s="222"/>
      <c r="M18" s="222">
        <f t="shared" si="1"/>
        <v>873828.39136801171</v>
      </c>
      <c r="N18" s="222"/>
      <c r="O18" s="222">
        <f t="shared" si="1"/>
        <v>904412.38506589201</v>
      </c>
      <c r="P18" s="222"/>
      <c r="Q18" s="222">
        <f t="shared" si="1"/>
        <v>936066.81854319817</v>
      </c>
      <c r="R18" s="222"/>
      <c r="S18" s="222">
        <f t="shared" si="1"/>
        <v>968829.15719221008</v>
      </c>
      <c r="T18" s="222"/>
      <c r="U18" s="222">
        <f t="shared" si="1"/>
        <v>1002738.1776939373</v>
      </c>
      <c r="V18" s="222"/>
      <c r="W18" s="222">
        <f t="shared" si="1"/>
        <v>1037834.013913225</v>
      </c>
      <c r="X18" s="222"/>
      <c r="Y18" s="222">
        <f t="shared" si="1"/>
        <v>1074158.2044001878</v>
      </c>
      <c r="Z18" s="222"/>
      <c r="AA18" s="222">
        <f t="shared" si="1"/>
        <v>1111753.7415541944</v>
      </c>
      <c r="AB18" s="222"/>
      <c r="AC18" s="222">
        <f t="shared" si="1"/>
        <v>1150665.122508591</v>
      </c>
      <c r="AD18" s="222"/>
      <c r="AE18" s="222">
        <f t="shared" si="1"/>
        <v>1190938.4017963917</v>
      </c>
      <c r="AF18" s="222"/>
      <c r="AG18" s="222">
        <f t="shared" si="1"/>
        <v>1232621.2458592653</v>
      </c>
    </row>
    <row r="19" spans="1:33" s="210" customFormat="1" ht="14.25">
      <c r="A19" s="210" t="s">
        <v>155</v>
      </c>
      <c r="C19" s="233"/>
      <c r="E19" s="222">
        <f>Application!W863</f>
        <v>395000</v>
      </c>
      <c r="F19" s="222"/>
      <c r="G19" s="222">
        <f t="shared" si="1"/>
        <v>408824.99999999994</v>
      </c>
      <c r="H19" s="222"/>
      <c r="I19" s="222">
        <f t="shared" si="1"/>
        <v>423133.87499999988</v>
      </c>
      <c r="J19" s="222"/>
      <c r="K19" s="222">
        <f t="shared" si="1"/>
        <v>437943.56062499987</v>
      </c>
      <c r="L19" s="222"/>
      <c r="M19" s="222">
        <f t="shared" si="1"/>
        <v>453271.58524687483</v>
      </c>
      <c r="N19" s="222"/>
      <c r="O19" s="222">
        <f t="shared" si="1"/>
        <v>469136.09073051543</v>
      </c>
      <c r="P19" s="222"/>
      <c r="Q19" s="222">
        <f t="shared" si="1"/>
        <v>485555.85390608344</v>
      </c>
      <c r="R19" s="222"/>
      <c r="S19" s="222">
        <f t="shared" si="1"/>
        <v>502550.30879279634</v>
      </c>
      <c r="T19" s="222"/>
      <c r="U19" s="222">
        <f t="shared" si="1"/>
        <v>520139.56960054417</v>
      </c>
      <c r="V19" s="222"/>
      <c r="W19" s="222">
        <f t="shared" si="1"/>
        <v>538344.45453656313</v>
      </c>
      <c r="X19" s="222"/>
      <c r="Y19" s="222">
        <f t="shared" si="1"/>
        <v>557186.51044534275</v>
      </c>
      <c r="Z19" s="222"/>
      <c r="AA19" s="222">
        <f t="shared" si="1"/>
        <v>576688.03831092967</v>
      </c>
      <c r="AB19" s="222"/>
      <c r="AC19" s="222">
        <f t="shared" si="1"/>
        <v>596872.11965181213</v>
      </c>
      <c r="AD19" s="222"/>
      <c r="AE19" s="222">
        <f t="shared" si="1"/>
        <v>617762.64383962553</v>
      </c>
      <c r="AF19" s="222"/>
      <c r="AG19" s="222">
        <f t="shared" si="1"/>
        <v>639384.3363740124</v>
      </c>
    </row>
    <row r="20" spans="1:33" s="210" customFormat="1" ht="14.25">
      <c r="A20" s="210" t="s">
        <v>390</v>
      </c>
      <c r="C20" s="233"/>
      <c r="E20" s="222">
        <f>Application!W872</f>
        <v>325050</v>
      </c>
      <c r="F20" s="222"/>
      <c r="G20" s="222">
        <f t="shared" si="1"/>
        <v>336426.75</v>
      </c>
      <c r="H20" s="222"/>
      <c r="I20" s="222">
        <f t="shared" si="1"/>
        <v>348201.68624999997</v>
      </c>
      <c r="J20" s="222"/>
      <c r="K20" s="222">
        <f t="shared" si="1"/>
        <v>360388.74526874995</v>
      </c>
      <c r="L20" s="222"/>
      <c r="M20" s="222">
        <f t="shared" si="1"/>
        <v>373002.35135315615</v>
      </c>
      <c r="N20" s="222"/>
      <c r="O20" s="222">
        <f t="shared" si="1"/>
        <v>386057.43365051656</v>
      </c>
      <c r="P20" s="222"/>
      <c r="Q20" s="222">
        <f t="shared" si="1"/>
        <v>399569.44382828462</v>
      </c>
      <c r="R20" s="222"/>
      <c r="S20" s="222">
        <f t="shared" si="1"/>
        <v>413554.37436227454</v>
      </c>
      <c r="T20" s="222"/>
      <c r="U20" s="222">
        <f t="shared" si="1"/>
        <v>428028.77746495412</v>
      </c>
      <c r="V20" s="222"/>
      <c r="W20" s="222">
        <f t="shared" si="1"/>
        <v>443009.78467622749</v>
      </c>
      <c r="X20" s="222"/>
      <c r="Y20" s="222">
        <f t="shared" si="1"/>
        <v>458515.1271398954</v>
      </c>
      <c r="Z20" s="222"/>
      <c r="AA20" s="222">
        <f t="shared" si="1"/>
        <v>474563.1565897917</v>
      </c>
      <c r="AB20" s="222"/>
      <c r="AC20" s="222">
        <f t="shared" si="1"/>
        <v>491172.86707043438</v>
      </c>
      <c r="AD20" s="222"/>
      <c r="AE20" s="222">
        <f t="shared" si="1"/>
        <v>508363.91741789953</v>
      </c>
      <c r="AF20" s="222"/>
      <c r="AG20" s="222">
        <f t="shared" si="1"/>
        <v>526156.654527526</v>
      </c>
    </row>
    <row r="21" spans="1:33" s="210" customFormat="1" ht="14.25">
      <c r="A21" s="210" t="s">
        <v>961</v>
      </c>
      <c r="C21" s="233"/>
      <c r="E21" s="232">
        <f>Application!W879</f>
        <v>0</v>
      </c>
      <c r="F21" s="222"/>
      <c r="G21" s="232">
        <f t="shared" si="1"/>
        <v>0</v>
      </c>
      <c r="H21" s="222"/>
      <c r="I21" s="232">
        <f t="shared" si="1"/>
        <v>0</v>
      </c>
      <c r="J21" s="222"/>
      <c r="K21" s="232">
        <f t="shared" si="1"/>
        <v>0</v>
      </c>
      <c r="L21" s="222"/>
      <c r="M21" s="232">
        <f t="shared" si="1"/>
        <v>0</v>
      </c>
      <c r="N21" s="222"/>
      <c r="O21" s="232">
        <f t="shared" si="1"/>
        <v>0</v>
      </c>
      <c r="P21" s="222"/>
      <c r="Q21" s="232">
        <f t="shared" si="1"/>
        <v>0</v>
      </c>
      <c r="R21" s="222"/>
      <c r="S21" s="232">
        <f t="shared" si="1"/>
        <v>0</v>
      </c>
      <c r="T21" s="222"/>
      <c r="U21" s="232">
        <f t="shared" si="1"/>
        <v>0</v>
      </c>
      <c r="V21" s="222"/>
      <c r="W21" s="232">
        <f t="shared" si="1"/>
        <v>0</v>
      </c>
      <c r="X21" s="222"/>
      <c r="Y21" s="232">
        <f t="shared" si="1"/>
        <v>0</v>
      </c>
      <c r="Z21" s="222"/>
      <c r="AA21" s="232">
        <f t="shared" si="1"/>
        <v>0</v>
      </c>
      <c r="AB21" s="222"/>
      <c r="AC21" s="232">
        <f t="shared" si="1"/>
        <v>0</v>
      </c>
      <c r="AD21" s="222"/>
      <c r="AE21" s="232">
        <f t="shared" si="1"/>
        <v>0</v>
      </c>
      <c r="AF21" s="222"/>
      <c r="AG21" s="232">
        <f t="shared" si="1"/>
        <v>0</v>
      </c>
    </row>
    <row r="22" spans="1:33" s="223" customFormat="1" ht="15">
      <c r="A22" s="223" t="s">
        <v>843</v>
      </c>
      <c r="C22" s="233"/>
      <c r="E22" s="223">
        <f>SUM(E15:E21)</f>
        <v>2175171.380920995</v>
      </c>
      <c r="G22" s="223">
        <f>SUM(G15:G21)</f>
        <v>2251302.3792532301</v>
      </c>
      <c r="I22" s="223">
        <f>SUM(I15:I21)</f>
        <v>2330097.962527093</v>
      </c>
      <c r="K22" s="223">
        <f>SUM(K15:K21)</f>
        <v>2411651.3912155409</v>
      </c>
      <c r="M22" s="223">
        <f>SUM(M15:M21)</f>
        <v>2496059.1899080845</v>
      </c>
      <c r="O22" s="223">
        <f>SUM(O15:O21)</f>
        <v>2583421.2615548675</v>
      </c>
      <c r="Q22" s="223">
        <f>SUM(Q15:Q21)</f>
        <v>2673841.0057092877</v>
      </c>
      <c r="S22" s="223">
        <f>SUM(S15:S21)</f>
        <v>2767425.4409091128</v>
      </c>
      <c r="U22" s="223">
        <f>SUM(U15:U21)</f>
        <v>2864285.3313409314</v>
      </c>
      <c r="W22" s="223">
        <f>SUM(W15:W21)</f>
        <v>2964535.317937864</v>
      </c>
      <c r="Y22" s="223">
        <f>SUM(Y15:Y21)</f>
        <v>3068294.0540656885</v>
      </c>
      <c r="AA22" s="223">
        <f>SUM(AA15:AA21)</f>
        <v>3175684.345957987</v>
      </c>
      <c r="AC22" s="223">
        <f>SUM(AC15:AC21)</f>
        <v>3286833.2980665164</v>
      </c>
      <c r="AE22" s="223">
        <f>SUM(AE15:AE21)</f>
        <v>3401872.4634988448</v>
      </c>
      <c r="AG22" s="223">
        <f>SUM(AG15:AG21)</f>
        <v>3520937.9997213036</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1681</v>
      </c>
      <c r="C24" s="233">
        <v>1.0249999999999999</v>
      </c>
      <c r="E24" s="219">
        <v>671572.82499999995</v>
      </c>
      <c r="F24" s="222"/>
      <c r="G24" s="222">
        <v>688362.14562499989</v>
      </c>
      <c r="H24" s="222"/>
      <c r="I24" s="222">
        <v>705571.19926562486</v>
      </c>
      <c r="J24" s="222"/>
      <c r="K24" s="222">
        <v>723210.47924726538</v>
      </c>
      <c r="L24" s="222"/>
      <c r="M24" s="222">
        <v>741290.74122844695</v>
      </c>
      <c r="N24" s="222"/>
      <c r="O24" s="222">
        <v>759823.00975915801</v>
      </c>
      <c r="P24" s="222"/>
      <c r="Q24" s="222">
        <v>759823.00975915801</v>
      </c>
      <c r="R24" s="222"/>
      <c r="S24" s="222">
        <v>778818.58500313689</v>
      </c>
      <c r="T24" s="222"/>
      <c r="U24" s="222">
        <v>798289.04962821526</v>
      </c>
      <c r="V24" s="222"/>
      <c r="W24" s="222">
        <v>818246.27586892061</v>
      </c>
      <c r="X24" s="222"/>
      <c r="Y24" s="222">
        <v>838702.43276564358</v>
      </c>
      <c r="Z24" s="222"/>
      <c r="AA24" s="222">
        <v>859669.99358478456</v>
      </c>
      <c r="AB24" s="222"/>
      <c r="AC24" s="222">
        <v>881161.74342440406</v>
      </c>
      <c r="AD24" s="222"/>
      <c r="AE24" s="222">
        <v>1058571.3939371379</v>
      </c>
      <c r="AF24" s="222"/>
      <c r="AG24" s="222">
        <v>1079742.8218158807</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34000</v>
      </c>
      <c r="F27" s="222"/>
      <c r="G27" s="222">
        <f>E27*$C$27</f>
        <v>35190</v>
      </c>
      <c r="H27" s="222"/>
      <c r="I27" s="222">
        <f>G27*$C$27</f>
        <v>36421.649999999994</v>
      </c>
      <c r="J27" s="222"/>
      <c r="K27" s="222">
        <f>I27*$C$27</f>
        <v>37696.407749999991</v>
      </c>
      <c r="L27" s="222"/>
      <c r="M27" s="222">
        <f>K27*$C$27</f>
        <v>39015.782021249986</v>
      </c>
      <c r="N27" s="222"/>
      <c r="O27" s="222">
        <f>M27*$C$27</f>
        <v>40381.334391993732</v>
      </c>
      <c r="P27" s="222"/>
      <c r="Q27" s="222">
        <f>O27*$C$27</f>
        <v>41794.681095713509</v>
      </c>
      <c r="R27" s="222"/>
      <c r="S27" s="222">
        <f>Q27*$C$27</f>
        <v>43257.494934063478</v>
      </c>
      <c r="T27" s="222"/>
      <c r="U27" s="222">
        <f>S27*$C$27</f>
        <v>44771.507256755693</v>
      </c>
      <c r="V27" s="222"/>
      <c r="W27" s="222">
        <f>U27*$C$27</f>
        <v>46338.510010742139</v>
      </c>
      <c r="X27" s="222"/>
      <c r="Y27" s="222">
        <f>W27*$C$27</f>
        <v>47960.357861118107</v>
      </c>
      <c r="Z27" s="222"/>
      <c r="AA27" s="222">
        <f>Y27*$C$27</f>
        <v>49638.970386257235</v>
      </c>
      <c r="AB27" s="222"/>
      <c r="AC27" s="222">
        <f>AA27*$C$27</f>
        <v>51376.334349776233</v>
      </c>
      <c r="AD27" s="222"/>
      <c r="AE27" s="222">
        <f>AC27*$C$27</f>
        <v>53174.506052018398</v>
      </c>
      <c r="AF27" s="222"/>
      <c r="AG27" s="222">
        <f>AE27*$C$27</f>
        <v>55035.613763839036</v>
      </c>
    </row>
    <row r="28" spans="1:33" s="210" customFormat="1" ht="14.25">
      <c r="A28" s="210" t="s">
        <v>846</v>
      </c>
      <c r="C28" s="237"/>
      <c r="E28" s="222">
        <f>Application!AC889</f>
        <v>98750</v>
      </c>
      <c r="F28" s="222"/>
      <c r="G28" s="222">
        <f>$E$28</f>
        <v>98750</v>
      </c>
      <c r="H28" s="222"/>
      <c r="I28" s="222">
        <f>$E$28</f>
        <v>98750</v>
      </c>
      <c r="J28" s="222"/>
      <c r="K28" s="222">
        <f>$E$28</f>
        <v>98750</v>
      </c>
      <c r="L28" s="222"/>
      <c r="M28" s="222">
        <f>$E$28</f>
        <v>98750</v>
      </c>
      <c r="N28" s="222"/>
      <c r="O28" s="222">
        <f>$E$28</f>
        <v>98750</v>
      </c>
      <c r="P28" s="222"/>
      <c r="Q28" s="222">
        <f>$E$28</f>
        <v>98750</v>
      </c>
      <c r="R28" s="222"/>
      <c r="S28" s="222">
        <f>$E$28</f>
        <v>98750</v>
      </c>
      <c r="T28" s="222"/>
      <c r="U28" s="222">
        <f>$E$28</f>
        <v>98750</v>
      </c>
      <c r="V28" s="222"/>
      <c r="W28" s="222">
        <f>$E$28</f>
        <v>98750</v>
      </c>
      <c r="X28" s="222"/>
      <c r="Y28" s="222">
        <f>$E$28</f>
        <v>98750</v>
      </c>
      <c r="Z28" s="222"/>
      <c r="AA28" s="222">
        <f>$E$28</f>
        <v>98750</v>
      </c>
      <c r="AB28" s="222"/>
      <c r="AC28" s="222">
        <f>$E$28</f>
        <v>98750</v>
      </c>
      <c r="AD28" s="222"/>
      <c r="AE28" s="222">
        <f>$E$28</f>
        <v>98750</v>
      </c>
      <c r="AF28" s="222"/>
      <c r="AG28" s="222">
        <f>$E$28</f>
        <v>98750</v>
      </c>
    </row>
    <row r="29" spans="1:33" s="210" customFormat="1" ht="14.25">
      <c r="A29" s="210" t="s">
        <v>1679</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844</v>
      </c>
      <c r="C30" s="237">
        <v>1.02</v>
      </c>
      <c r="E30" s="222">
        <f>Application!AC891</f>
        <v>15000</v>
      </c>
      <c r="F30" s="222"/>
      <c r="G30" s="222">
        <f>E30*$C$30</f>
        <v>15300</v>
      </c>
      <c r="H30" s="222"/>
      <c r="I30" s="222">
        <f>G30*$C$30</f>
        <v>15606</v>
      </c>
      <c r="J30" s="222"/>
      <c r="K30" s="222">
        <f>I30*$C$30</f>
        <v>15918.12</v>
      </c>
      <c r="L30" s="222"/>
      <c r="M30" s="222">
        <f>K30*$C$30</f>
        <v>16236.482400000001</v>
      </c>
      <c r="N30" s="222"/>
      <c r="O30" s="222">
        <f>M30*$C$30</f>
        <v>16561.212048000001</v>
      </c>
      <c r="P30" s="222"/>
      <c r="Q30" s="222">
        <f>O30*$C$30</f>
        <v>16892.436288960002</v>
      </c>
      <c r="R30" s="222"/>
      <c r="S30" s="222">
        <f>Q30*$C$30</f>
        <v>17230.285014739202</v>
      </c>
      <c r="T30" s="222"/>
      <c r="U30" s="222">
        <f>S30*$C$30</f>
        <v>17574.890715033987</v>
      </c>
      <c r="V30" s="222"/>
      <c r="W30" s="222">
        <f>U30*$C$30</f>
        <v>17926.388529334668</v>
      </c>
      <c r="X30" s="222"/>
      <c r="Y30" s="222">
        <f>W30*$C$30</f>
        <v>18284.916299921362</v>
      </c>
      <c r="Z30" s="222"/>
      <c r="AA30" s="222">
        <f>Y30*$C$30</f>
        <v>18650.614625919789</v>
      </c>
      <c r="AB30" s="222"/>
      <c r="AC30" s="222">
        <f>AA30*$C$30</f>
        <v>19023.626918438185</v>
      </c>
      <c r="AD30" s="222"/>
      <c r="AE30" s="222">
        <f>AC30*$C$30</f>
        <v>19404.099456806951</v>
      </c>
      <c r="AF30" s="222"/>
      <c r="AG30" s="222">
        <f>AE30*$C$30</f>
        <v>19792.18144594309</v>
      </c>
    </row>
    <row r="31" spans="1:33" s="210" customFormat="1" ht="14.25">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(Land Use Covenant &amp; Annual Issuer &amp; Trustee Fee):</v>
      </c>
      <c r="C32" s="316">
        <v>1</v>
      </c>
      <c r="E32" s="222">
        <f>Application!AC894</f>
        <v>100143</v>
      </c>
      <c r="F32" s="222"/>
      <c r="G32" s="222">
        <f>E32*$C$32</f>
        <v>100143</v>
      </c>
      <c r="H32" s="222"/>
      <c r="I32" s="222">
        <f>G32*$C$32</f>
        <v>100143</v>
      </c>
      <c r="J32" s="222"/>
      <c r="K32" s="222">
        <f>I32*$C$32</f>
        <v>100143</v>
      </c>
      <c r="L32" s="222"/>
      <c r="M32" s="222">
        <f>K32*$C$32</f>
        <v>100143</v>
      </c>
      <c r="N32" s="222"/>
      <c r="O32" s="222">
        <f>M32*$C$32</f>
        <v>100143</v>
      </c>
      <c r="P32" s="222"/>
      <c r="Q32" s="222">
        <f>O32*$C$32</f>
        <v>100143</v>
      </c>
      <c r="R32" s="222"/>
      <c r="S32" s="222">
        <f>Q32*$C$32</f>
        <v>100143</v>
      </c>
      <c r="T32" s="222"/>
      <c r="U32" s="222">
        <f>S32*$C$32</f>
        <v>100143</v>
      </c>
      <c r="V32" s="222"/>
      <c r="W32" s="222">
        <f>U32*$C$32</f>
        <v>100143</v>
      </c>
      <c r="X32" s="222"/>
      <c r="Y32" s="222">
        <f>W32*$C$32</f>
        <v>100143</v>
      </c>
      <c r="Z32" s="222"/>
      <c r="AA32" s="222">
        <f>Y32*$C$32</f>
        <v>100143</v>
      </c>
      <c r="AB32" s="222"/>
      <c r="AC32" s="222">
        <f>AA32*$C$32</f>
        <v>100143</v>
      </c>
      <c r="AD32" s="222"/>
      <c r="AE32" s="222">
        <f>AC32*$C$32</f>
        <v>100143</v>
      </c>
      <c r="AF32" s="222"/>
      <c r="AG32" s="222">
        <f>AE32*$C$32</f>
        <v>100143</v>
      </c>
    </row>
    <row r="33" spans="1:33" s="210" customFormat="1" ht="14.25">
      <c r="A33" s="210" t="str">
        <f>Application!C895</f>
        <v>Other (Owner-Hosted Broadband Expenses):</v>
      </c>
      <c r="C33" s="316">
        <v>1.0349999999999999</v>
      </c>
      <c r="E33" s="222">
        <f>Application!AC895</f>
        <v>91245</v>
      </c>
      <c r="F33" s="222"/>
      <c r="G33" s="222">
        <f>E33*$C$33</f>
        <v>94438.574999999997</v>
      </c>
      <c r="H33" s="222"/>
      <c r="I33" s="222">
        <f>G33*$C$33</f>
        <v>97743.925124999994</v>
      </c>
      <c r="J33" s="222"/>
      <c r="K33" s="222">
        <f>I33*$C$33</f>
        <v>101164.96250437498</v>
      </c>
      <c r="L33" s="222"/>
      <c r="M33" s="222">
        <f>K33*$C$33</f>
        <v>104705.7361920281</v>
      </c>
      <c r="N33" s="222"/>
      <c r="O33" s="222">
        <f>M33*$C$33</f>
        <v>108370.43695874907</v>
      </c>
      <c r="P33" s="222"/>
      <c r="Q33" s="222">
        <f>O33*$C$33</f>
        <v>112163.40225230527</v>
      </c>
      <c r="R33" s="222"/>
      <c r="S33" s="222">
        <f>Q33*$C$33</f>
        <v>116089.12133113595</v>
      </c>
      <c r="T33" s="222"/>
      <c r="U33" s="222">
        <f>S33*$C$33</f>
        <v>120152.24057772569</v>
      </c>
      <c r="V33" s="222"/>
      <c r="W33" s="222">
        <f>U33*$C$33</f>
        <v>124357.56899794609</v>
      </c>
      <c r="X33" s="222"/>
      <c r="Y33" s="222">
        <f>W33*$C$33</f>
        <v>128710.08391287419</v>
      </c>
      <c r="Z33" s="222"/>
      <c r="AA33" s="222">
        <f>Y33*$C$33</f>
        <v>133214.93684982479</v>
      </c>
      <c r="AB33" s="222"/>
      <c r="AC33" s="222">
        <f>AA33*$C$33</f>
        <v>137877.45963956864</v>
      </c>
      <c r="AD33" s="222"/>
      <c r="AE33" s="222">
        <f>AC33*$C$33</f>
        <v>142703.17072695354</v>
      </c>
      <c r="AF33" s="222"/>
      <c r="AG33" s="222">
        <f>AE33*$C$33</f>
        <v>147697.7817023969</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3185882.2059209952</v>
      </c>
      <c r="G35" s="223">
        <f>SUM(G22:G33)</f>
        <v>3283486.0998782301</v>
      </c>
      <c r="I35" s="223">
        <f>SUM(I22:I33)</f>
        <v>3384333.7369177178</v>
      </c>
      <c r="K35" s="223">
        <f>SUM(K22:K33)</f>
        <v>3488534.3607171811</v>
      </c>
      <c r="M35" s="223">
        <f>SUM(M22:M33)</f>
        <v>3596200.9317498095</v>
      </c>
      <c r="O35" s="223">
        <f>SUM(O22:O33)</f>
        <v>3707450.2547127684</v>
      </c>
      <c r="Q35" s="223">
        <f>SUM(Q22:Q33)</f>
        <v>3803407.535105424</v>
      </c>
      <c r="S35" s="223">
        <f>SUM(S22:S33)</f>
        <v>3921713.9271921879</v>
      </c>
      <c r="U35" s="223">
        <f>SUM(U22:U33)</f>
        <v>4043966.0195186622</v>
      </c>
      <c r="W35" s="223">
        <f>SUM(W22:W33)</f>
        <v>4170297.0613448075</v>
      </c>
      <c r="Y35" s="223">
        <f>SUM(Y22:Y33)</f>
        <v>4300844.844905246</v>
      </c>
      <c r="AA35" s="223">
        <f>SUM(AA22:AA33)</f>
        <v>4435751.8614047738</v>
      </c>
      <c r="AC35" s="223">
        <f>SUM(AC22:AC33)</f>
        <v>4575165.4623987032</v>
      </c>
      <c r="AE35" s="223">
        <f>SUM(AE22:AE33)</f>
        <v>4874618.6336717606</v>
      </c>
      <c r="AG35" s="223">
        <f>SUM(AG22:AG33)</f>
        <v>5022099.3984493632</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4972637.2340790043</v>
      </c>
      <c r="G37" s="223">
        <f>G11-G35</f>
        <v>5078996.3261217671</v>
      </c>
      <c r="I37" s="223">
        <f>I11-I35</f>
        <v>5187210.7497322783</v>
      </c>
      <c r="K37" s="223">
        <f>K11-K35</f>
        <v>5297298.7380990647</v>
      </c>
      <c r="M37" s="223">
        <f>M11-M35</f>
        <v>5409277.9945368413</v>
      </c>
      <c r="O37" s="223">
        <f>O11-O35</f>
        <v>5523165.6447310485</v>
      </c>
      <c r="Q37" s="223">
        <f>Q11-Q35</f>
        <v>5657973.7618244868</v>
      </c>
      <c r="S37" s="223">
        <f>S11-S35</f>
        <v>5776201.9021609696</v>
      </c>
      <c r="U37" s="223">
        <f>U11-U35</f>
        <v>5896397.7055683248</v>
      </c>
      <c r="W37" s="223">
        <f>W11-W35</f>
        <v>6018575.7568693496</v>
      </c>
      <c r="Y37" s="223">
        <f>Y11-Y35</f>
        <v>6142749.7937642671</v>
      </c>
      <c r="AA37" s="223">
        <f>AA11-AA35</f>
        <v>6268932.6432314748</v>
      </c>
      <c r="AC37" s="223">
        <f>AC11-AC35</f>
        <v>6397136.1548534492</v>
      </c>
      <c r="AE37" s="223">
        <f>AE11-AE35</f>
        <v>6371990.524011692</v>
      </c>
      <c r="AG37" s="223">
        <f>AG11-AG35</f>
        <v>6505674.9881761782</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 xml:space="preserve">Perm Loan: Citibank </v>
      </c>
      <c r="B40" s="226"/>
      <c r="C40" s="220"/>
      <c r="E40" s="222">
        <f>Application!AF627</f>
        <v>4324032.3774600038</v>
      </c>
      <c r="F40" s="222"/>
      <c r="G40" s="222">
        <f>$E$40</f>
        <v>4324032.3774600038</v>
      </c>
      <c r="H40" s="222"/>
      <c r="I40" s="222">
        <f>$E$40</f>
        <v>4324032.3774600038</v>
      </c>
      <c r="J40" s="222"/>
      <c r="K40" s="222">
        <f>$E$40</f>
        <v>4324032.3774600038</v>
      </c>
      <c r="L40" s="222"/>
      <c r="M40" s="222">
        <f>$E$40</f>
        <v>4324032.3774600038</v>
      </c>
      <c r="N40" s="222"/>
      <c r="O40" s="222">
        <f>$E$40</f>
        <v>4324032.3774600038</v>
      </c>
      <c r="P40" s="222"/>
      <c r="Q40" s="222">
        <f>$E$40</f>
        <v>4324032.3774600038</v>
      </c>
      <c r="R40" s="222"/>
      <c r="S40" s="222">
        <f>$E$40</f>
        <v>4324032.3774600038</v>
      </c>
      <c r="T40" s="222"/>
      <c r="U40" s="222">
        <f>$E$40</f>
        <v>4324032.3774600038</v>
      </c>
      <c r="V40" s="222"/>
      <c r="W40" s="222">
        <f>$E$40</f>
        <v>4324032.3774600038</v>
      </c>
      <c r="X40" s="222"/>
      <c r="Y40" s="222">
        <f>$E$40</f>
        <v>4324032.3774600038</v>
      </c>
      <c r="Z40" s="222"/>
      <c r="AA40" s="222">
        <f>$E$40</f>
        <v>4324032.3774600038</v>
      </c>
      <c r="AB40" s="222"/>
      <c r="AC40" s="222">
        <f>$E$40</f>
        <v>4324032.3774600038</v>
      </c>
      <c r="AD40" s="222"/>
      <c r="AE40" s="222">
        <f>$E$40</f>
        <v>4324032.3774600038</v>
      </c>
      <c r="AF40" s="222"/>
      <c r="AG40" s="222">
        <f>$E$40</f>
        <v>4324032.3774600038</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4324032.3774600038</v>
      </c>
      <c r="G43" s="223">
        <f>SUM(G40:G42)</f>
        <v>4324032.3774600038</v>
      </c>
      <c r="I43" s="223">
        <f>SUM(I40:I42)</f>
        <v>4324032.3774600038</v>
      </c>
      <c r="K43" s="223">
        <f>SUM(K40:K42)</f>
        <v>4324032.3774600038</v>
      </c>
      <c r="M43" s="223">
        <f>SUM(M40:M42)</f>
        <v>4324032.3774600038</v>
      </c>
      <c r="O43" s="223">
        <f>SUM(O40:O42)</f>
        <v>4324032.3774600038</v>
      </c>
      <c r="Q43" s="223">
        <f>SUM(Q40:Q42)</f>
        <v>4324032.3774600038</v>
      </c>
      <c r="S43" s="223">
        <f>SUM(S40:S42)</f>
        <v>4324032.3774600038</v>
      </c>
      <c r="U43" s="223">
        <f>SUM(U40:U42)</f>
        <v>4324032.3774600038</v>
      </c>
      <c r="W43" s="223">
        <f>SUM(W40:W42)</f>
        <v>4324032.3774600038</v>
      </c>
      <c r="Y43" s="223">
        <f>SUM(Y40:Y42)</f>
        <v>4324032.3774600038</v>
      </c>
      <c r="AA43" s="223">
        <f>SUM(AA40:AA42)</f>
        <v>4324032.3774600038</v>
      </c>
      <c r="AC43" s="223">
        <f>SUM(AC40:AC42)</f>
        <v>4324032.3774600038</v>
      </c>
      <c r="AE43" s="223">
        <f>SUM(AE40:AE42)</f>
        <v>4324032.3774600038</v>
      </c>
      <c r="AG43" s="223">
        <f>SUM(AG40:AG42)</f>
        <v>4324032.3774600038</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648604.85661900043</v>
      </c>
      <c r="G45" s="223">
        <f>G37-G43</f>
        <v>754963.94866176322</v>
      </c>
      <c r="I45" s="223">
        <f>I37-I43</f>
        <v>863178.37227227446</v>
      </c>
      <c r="K45" s="223">
        <f>K37-K43</f>
        <v>973266.36063906085</v>
      </c>
      <c r="M45" s="223">
        <f>M37-M43</f>
        <v>1085245.6170768375</v>
      </c>
      <c r="O45" s="223">
        <f>O37-O43</f>
        <v>1199133.2672710447</v>
      </c>
      <c r="Q45" s="223">
        <f>Q37-Q43</f>
        <v>1333941.3843644829</v>
      </c>
      <c r="S45" s="223">
        <f>S37-S43</f>
        <v>1452169.5247009657</v>
      </c>
      <c r="U45" s="223">
        <f>U37-U43</f>
        <v>1572365.3281083209</v>
      </c>
      <c r="W45" s="223">
        <f>W37-W43</f>
        <v>1694543.3794093458</v>
      </c>
      <c r="Y45" s="223">
        <f>Y37-Y43</f>
        <v>1818717.4163042633</v>
      </c>
      <c r="AA45" s="223">
        <f>AA37-AA43</f>
        <v>1944900.265771471</v>
      </c>
      <c r="AC45" s="223">
        <f>AC37-AC43</f>
        <v>2073103.7773934454</v>
      </c>
      <c r="AE45" s="223">
        <f>AE37-AE43</f>
        <v>2047958.1465516882</v>
      </c>
      <c r="AG45" s="223">
        <f>AG37-AG43</f>
        <v>2181642.6107161744</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7.5525298225930376E-2</v>
      </c>
      <c r="G47" s="227">
        <f>G45/(G4+G6+G8)</f>
        <v>8.5765890401008446E-2</v>
      </c>
      <c r="I47" s="227">
        <f>I45/(I4+I6+I8)</f>
        <v>9.5667642504314615E-2</v>
      </c>
      <c r="K47" s="227">
        <f>K45/(K4+K6+K8)</f>
        <v>0.10523794752391594</v>
      </c>
      <c r="M47" s="227">
        <f>M45/(M4+M6+M8)</f>
        <v>0.1144840096414633</v>
      </c>
      <c r="O47" s="227">
        <f>O45/(O4+O6+O8)</f>
        <v>0.1234128487543429</v>
      </c>
      <c r="Q47" s="227">
        <f>Q45/(Q4+Q6+Q8)</f>
        <v>0.1339386158718138</v>
      </c>
      <c r="S47" s="227">
        <f>S45/(S4+S6+S8)</f>
        <v>0.14225335347728349</v>
      </c>
      <c r="U47" s="227">
        <f>U45/(U4+U6+U8)</f>
        <v>0.15027086563573747</v>
      </c>
      <c r="W47" s="227">
        <f>W45/(W4+W6+W8)</f>
        <v>0.15799747814705148</v>
      </c>
      <c r="Y47" s="227">
        <f>Y45/(Y4+Y6+Y8)</f>
        <v>0.16543935352408173</v>
      </c>
      <c r="AA47" s="227">
        <f>AA45/(AA4+AA6+AA8)</f>
        <v>0.17260249488741769</v>
      </c>
      <c r="AC47" s="227">
        <f>AC45/(AC4+AC6+AC8)</f>
        <v>0.17949274976429161</v>
      </c>
      <c r="AE47" s="227">
        <f>AE45/(AE4+AE6+AE8)</f>
        <v>0.17299082878637573</v>
      </c>
      <c r="AG47" s="227">
        <f>AG45/(AG4+AG6+AG8)</f>
        <v>0.17978843189236413</v>
      </c>
    </row>
    <row r="48" spans="1:33" s="227" customFormat="1" ht="14.25">
      <c r="A48" s="227" t="s">
        <v>852</v>
      </c>
      <c r="C48" s="220"/>
      <c r="E48" s="227">
        <f>E45/E43</f>
        <v>0.14999999999999997</v>
      </c>
      <c r="G48" s="227">
        <f>G45/G43</f>
        <v>0.17459720065862214</v>
      </c>
      <c r="I48" s="227">
        <f>I45/I43</f>
        <v>0.1996234757102622</v>
      </c>
      <c r="K48" s="227">
        <f>K45/K43</f>
        <v>0.2250830418644485</v>
      </c>
      <c r="M48" s="227">
        <f>M45/M43</f>
        <v>0.25097999328911724</v>
      </c>
      <c r="O48" s="227">
        <f>O45/O43</f>
        <v>0.27731829056641616</v>
      </c>
      <c r="Q48" s="227">
        <f>Q45/Q43</f>
        <v>0.30849477245312823</v>
      </c>
      <c r="S48" s="227">
        <f>S45/S43</f>
        <v>0.33583687584550193</v>
      </c>
      <c r="U48" s="227">
        <f>U45/U43</f>
        <v>0.36363403204486411</v>
      </c>
      <c r="W48" s="227">
        <f>W45/W43</f>
        <v>0.39188961401920491</v>
      </c>
      <c r="Y48" s="227">
        <f>Y45/Y43</f>
        <v>0.42060679882619262</v>
      </c>
      <c r="AA48" s="227">
        <f>AA45/AA43</f>
        <v>0.44978855290485409</v>
      </c>
      <c r="AC48" s="227">
        <f>AC45/AC43</f>
        <v>0.47943761665614887</v>
      </c>
      <c r="AE48" s="227">
        <f>AE45/AE43</f>
        <v>0.47362229691598356</v>
      </c>
      <c r="AG48" s="227">
        <f>AG45/AG43</f>
        <v>0.50453891651886784</v>
      </c>
    </row>
    <row r="49" spans="1:34" s="228" customFormat="1" ht="14.25">
      <c r="A49" s="228" t="s">
        <v>850</v>
      </c>
      <c r="C49" s="229"/>
      <c r="E49" s="228">
        <f>E37/E43</f>
        <v>1.1499999999999999</v>
      </c>
      <c r="G49" s="228">
        <f>G37/G43</f>
        <v>1.1745972006586221</v>
      </c>
      <c r="I49" s="228">
        <f>I37/I43</f>
        <v>1.1996234757102622</v>
      </c>
      <c r="K49" s="228">
        <f>K37/K43</f>
        <v>1.2250830418644485</v>
      </c>
      <c r="M49" s="228">
        <f>M37/M43</f>
        <v>1.2509799932891172</v>
      </c>
      <c r="O49" s="228">
        <f>O37/O43</f>
        <v>1.2773182905664162</v>
      </c>
      <c r="Q49" s="228">
        <f>Q37/Q43</f>
        <v>1.3084947724531282</v>
      </c>
      <c r="S49" s="228">
        <f>S37/S43</f>
        <v>1.3358368758455019</v>
      </c>
      <c r="U49" s="228">
        <f>U37/U43</f>
        <v>1.3636340320448641</v>
      </c>
      <c r="W49" s="228">
        <f>W37/W43</f>
        <v>1.391889614019205</v>
      </c>
      <c r="Y49" s="228">
        <f>Y37/Y43</f>
        <v>1.4206067988261926</v>
      </c>
      <c r="AA49" s="228">
        <f>AA37/AA43</f>
        <v>1.4497885529048542</v>
      </c>
      <c r="AC49" s="228">
        <f>AC37/AC43</f>
        <v>1.4794376166561489</v>
      </c>
      <c r="AE49" s="228">
        <f>AE37/AE43</f>
        <v>1.4736222969159836</v>
      </c>
      <c r="AG49" s="228">
        <f>AG37/AG43</f>
        <v>1.5045389165188678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0"/>
      <c r="E51" s="959"/>
      <c r="F51" s="959"/>
      <c r="G51" s="959"/>
      <c r="H51" s="959"/>
      <c r="I51" s="959"/>
      <c r="J51" s="959"/>
      <c r="K51" s="959"/>
      <c r="L51" s="959"/>
      <c r="M51" s="959"/>
      <c r="N51" s="959"/>
      <c r="O51" s="959"/>
      <c r="P51" s="959"/>
      <c r="Q51" s="959"/>
      <c r="R51" s="959"/>
      <c r="S51" s="959"/>
      <c r="T51" s="959"/>
      <c r="U51" s="959"/>
      <c r="V51" s="959"/>
      <c r="W51" s="959"/>
      <c r="X51" s="959"/>
      <c r="Y51" s="959"/>
      <c r="Z51" s="959"/>
      <c r="AA51" s="959"/>
      <c r="AB51" s="959"/>
      <c r="AC51" s="959"/>
      <c r="AD51" s="959"/>
      <c r="AE51" s="959"/>
      <c r="AF51" s="959"/>
      <c r="AG51" s="959"/>
    </row>
    <row r="52" spans="1:34" s="3" customFormat="1">
      <c r="A52" s="2696" t="s">
        <v>1183</v>
      </c>
      <c r="B52" s="2696"/>
      <c r="C52" s="2696"/>
      <c r="D52" s="959"/>
      <c r="E52" s="959"/>
      <c r="F52" s="959"/>
      <c r="G52" s="959"/>
      <c r="H52" s="959"/>
      <c r="I52" s="959"/>
      <c r="J52" s="959"/>
      <c r="K52" s="959"/>
      <c r="L52" s="959"/>
      <c r="M52" s="959"/>
      <c r="N52" s="959"/>
      <c r="O52" s="959"/>
      <c r="P52" s="959"/>
      <c r="Q52" s="959"/>
      <c r="R52" s="959"/>
      <c r="S52" s="959"/>
      <c r="T52" s="959"/>
      <c r="U52" s="959"/>
      <c r="V52" s="959"/>
      <c r="W52" s="959"/>
      <c r="X52" s="959"/>
      <c r="Y52" s="959"/>
      <c r="Z52" s="959"/>
      <c r="AA52" s="959"/>
      <c r="AB52" s="959"/>
      <c r="AC52" s="959"/>
      <c r="AD52" s="959"/>
      <c r="AE52" s="959"/>
      <c r="AF52" s="959"/>
      <c r="AG52" s="959"/>
    </row>
    <row r="53" spans="1:34" s="961" customFormat="1">
      <c r="A53" s="961" t="s">
        <v>854</v>
      </c>
      <c r="C53" s="962">
        <v>1.03</v>
      </c>
      <c r="E53" s="964">
        <v>15000</v>
      </c>
      <c r="G53" s="959">
        <f>E53*$C$53</f>
        <v>15450</v>
      </c>
      <c r="I53" s="959">
        <f>G53*$C$53</f>
        <v>15913.5</v>
      </c>
      <c r="K53" s="959">
        <f>I53*$C$53</f>
        <v>16390.904999999999</v>
      </c>
      <c r="M53" s="959">
        <f>K53*$C$53</f>
        <v>16882.632149999998</v>
      </c>
      <c r="O53" s="959">
        <f>M53*$C$53</f>
        <v>17389.1111145</v>
      </c>
      <c r="Q53" s="959">
        <f>O53*$C$53</f>
        <v>17910.784447934999</v>
      </c>
      <c r="S53" s="959">
        <f>Q53*$C$53</f>
        <v>18448.10798137305</v>
      </c>
      <c r="U53" s="959">
        <f>S53*$C$53</f>
        <v>19001.551220814243</v>
      </c>
      <c r="W53" s="959">
        <f>U53*$C$53</f>
        <v>19571.597757438671</v>
      </c>
      <c r="Y53" s="959">
        <f>W53*$C$53</f>
        <v>20158.745690161832</v>
      </c>
      <c r="AA53" s="959">
        <f>Y53*$C$53</f>
        <v>20763.508060866687</v>
      </c>
      <c r="AC53" s="959">
        <f>AA53*$C$53</f>
        <v>21386.413302692687</v>
      </c>
      <c r="AE53" s="959">
        <f>AC53*$C$53</f>
        <v>22028.005701773469</v>
      </c>
      <c r="AG53" s="959">
        <f>AE53*$C$53</f>
        <v>22688.845872826674</v>
      </c>
    </row>
    <row r="54" spans="1:34" s="3" customFormat="1">
      <c r="A54" s="3" t="s">
        <v>855</v>
      </c>
      <c r="C54" s="957"/>
      <c r="E54" s="964">
        <v>15000</v>
      </c>
      <c r="F54" s="959"/>
      <c r="G54" s="959">
        <f t="shared" ref="G54:AG57" si="2">E54*$C$53</f>
        <v>15450</v>
      </c>
      <c r="H54" s="959"/>
      <c r="I54" s="959">
        <f t="shared" si="2"/>
        <v>15913.5</v>
      </c>
      <c r="J54" s="959"/>
      <c r="K54" s="959">
        <f t="shared" si="2"/>
        <v>16390.904999999999</v>
      </c>
      <c r="L54" s="959"/>
      <c r="M54" s="959">
        <f t="shared" si="2"/>
        <v>16882.632149999998</v>
      </c>
      <c r="N54" s="959"/>
      <c r="O54" s="959">
        <f t="shared" si="2"/>
        <v>17389.1111145</v>
      </c>
      <c r="P54" s="959"/>
      <c r="Q54" s="959">
        <f t="shared" si="2"/>
        <v>17910.784447934999</v>
      </c>
      <c r="R54" s="959"/>
      <c r="S54" s="959">
        <f t="shared" si="2"/>
        <v>18448.10798137305</v>
      </c>
      <c r="T54" s="959"/>
      <c r="U54" s="959">
        <f t="shared" si="2"/>
        <v>19001.551220814243</v>
      </c>
      <c r="V54" s="959"/>
      <c r="W54" s="959">
        <f t="shared" si="2"/>
        <v>19571.597757438671</v>
      </c>
      <c r="X54" s="959"/>
      <c r="Y54" s="959">
        <f t="shared" si="2"/>
        <v>20158.745690161832</v>
      </c>
      <c r="Z54" s="959"/>
      <c r="AA54" s="959">
        <f t="shared" si="2"/>
        <v>20763.508060866687</v>
      </c>
      <c r="AB54" s="959"/>
      <c r="AC54" s="959">
        <f t="shared" si="2"/>
        <v>21386.413302692687</v>
      </c>
      <c r="AD54" s="959"/>
      <c r="AE54" s="959">
        <f t="shared" si="2"/>
        <v>22028.005701773469</v>
      </c>
      <c r="AF54" s="959"/>
      <c r="AG54" s="959">
        <f t="shared" si="2"/>
        <v>22688.845872826674</v>
      </c>
      <c r="AH54" s="959"/>
    </row>
    <row r="55" spans="1:34" s="3" customFormat="1">
      <c r="A55" s="3" t="s">
        <v>856</v>
      </c>
      <c r="C55" s="957"/>
      <c r="E55" s="964"/>
      <c r="F55" s="959"/>
      <c r="G55" s="959">
        <f t="shared" si="2"/>
        <v>0</v>
      </c>
      <c r="H55" s="959"/>
      <c r="I55" s="959">
        <f t="shared" si="2"/>
        <v>0</v>
      </c>
      <c r="J55" s="959"/>
      <c r="K55" s="959">
        <f t="shared" si="2"/>
        <v>0</v>
      </c>
      <c r="L55" s="959"/>
      <c r="M55" s="959">
        <f t="shared" si="2"/>
        <v>0</v>
      </c>
      <c r="N55" s="959"/>
      <c r="O55" s="959">
        <f t="shared" si="2"/>
        <v>0</v>
      </c>
      <c r="P55" s="959"/>
      <c r="Q55" s="959">
        <f t="shared" si="2"/>
        <v>0</v>
      </c>
      <c r="R55" s="959"/>
      <c r="S55" s="959">
        <f t="shared" si="2"/>
        <v>0</v>
      </c>
      <c r="T55" s="959"/>
      <c r="U55" s="959">
        <f t="shared" si="2"/>
        <v>0</v>
      </c>
      <c r="V55" s="959"/>
      <c r="W55" s="959">
        <f t="shared" si="2"/>
        <v>0</v>
      </c>
      <c r="X55" s="959"/>
      <c r="Y55" s="959">
        <f t="shared" si="2"/>
        <v>0</v>
      </c>
      <c r="Z55" s="959"/>
      <c r="AA55" s="959">
        <f t="shared" si="2"/>
        <v>0</v>
      </c>
      <c r="AB55" s="959"/>
      <c r="AC55" s="959">
        <f t="shared" si="2"/>
        <v>0</v>
      </c>
      <c r="AD55" s="959"/>
      <c r="AE55" s="959">
        <f t="shared" si="2"/>
        <v>0</v>
      </c>
      <c r="AF55" s="959"/>
      <c r="AG55" s="959">
        <f t="shared" si="2"/>
        <v>0</v>
      </c>
      <c r="AH55" s="959"/>
    </row>
    <row r="56" spans="1:34" s="3" customFormat="1">
      <c r="A56" s="965" t="s">
        <v>2741</v>
      </c>
      <c r="B56" s="965"/>
      <c r="C56" s="957"/>
      <c r="E56" s="964">
        <v>15000</v>
      </c>
      <c r="F56" s="959"/>
      <c r="G56" s="959">
        <f t="shared" si="2"/>
        <v>15450</v>
      </c>
      <c r="H56" s="959"/>
      <c r="I56" s="959">
        <f t="shared" si="2"/>
        <v>15913.5</v>
      </c>
      <c r="J56" s="959"/>
      <c r="K56" s="959">
        <f t="shared" si="2"/>
        <v>16390.904999999999</v>
      </c>
      <c r="L56" s="959"/>
      <c r="M56" s="959">
        <f t="shared" si="2"/>
        <v>16882.632149999998</v>
      </c>
      <c r="N56" s="959"/>
      <c r="O56" s="959">
        <f t="shared" si="2"/>
        <v>17389.1111145</v>
      </c>
      <c r="P56" s="959"/>
      <c r="Q56" s="959">
        <f t="shared" si="2"/>
        <v>17910.784447934999</v>
      </c>
      <c r="R56" s="959"/>
      <c r="S56" s="959">
        <f t="shared" si="2"/>
        <v>18448.10798137305</v>
      </c>
      <c r="T56" s="959"/>
      <c r="U56" s="959">
        <f t="shared" si="2"/>
        <v>19001.551220814243</v>
      </c>
      <c r="V56" s="959"/>
      <c r="W56" s="959">
        <f t="shared" si="2"/>
        <v>19571.597757438671</v>
      </c>
      <c r="X56" s="959"/>
      <c r="Y56" s="959">
        <f t="shared" si="2"/>
        <v>20158.745690161832</v>
      </c>
      <c r="Z56" s="959"/>
      <c r="AA56" s="959">
        <f t="shared" si="2"/>
        <v>20763.508060866687</v>
      </c>
      <c r="AB56" s="959"/>
      <c r="AC56" s="959">
        <f t="shared" si="2"/>
        <v>21386.413302692687</v>
      </c>
      <c r="AD56" s="959"/>
      <c r="AE56" s="959">
        <f t="shared" si="2"/>
        <v>22028.005701773469</v>
      </c>
      <c r="AF56" s="959"/>
      <c r="AG56" s="959">
        <f t="shared" si="2"/>
        <v>22688.845872826674</v>
      </c>
      <c r="AH56" s="959"/>
    </row>
    <row r="57" spans="1:34" s="3" customFormat="1">
      <c r="A57" s="965"/>
      <c r="B57" s="965"/>
      <c r="C57" s="957"/>
      <c r="E57" s="966"/>
      <c r="F57" s="959"/>
      <c r="G57" s="967">
        <f t="shared" si="2"/>
        <v>0</v>
      </c>
      <c r="H57" s="959"/>
      <c r="I57" s="967">
        <f t="shared" si="2"/>
        <v>0</v>
      </c>
      <c r="J57" s="959"/>
      <c r="K57" s="967">
        <f t="shared" si="2"/>
        <v>0</v>
      </c>
      <c r="L57" s="959"/>
      <c r="M57" s="967">
        <f t="shared" si="2"/>
        <v>0</v>
      </c>
      <c r="N57" s="959"/>
      <c r="O57" s="967">
        <f t="shared" si="2"/>
        <v>0</v>
      </c>
      <c r="P57" s="959"/>
      <c r="Q57" s="967">
        <f t="shared" si="2"/>
        <v>0</v>
      </c>
      <c r="R57" s="959"/>
      <c r="S57" s="967">
        <f t="shared" si="2"/>
        <v>0</v>
      </c>
      <c r="T57" s="959"/>
      <c r="U57" s="967">
        <f t="shared" si="2"/>
        <v>0</v>
      </c>
      <c r="V57" s="959"/>
      <c r="W57" s="967">
        <f t="shared" si="2"/>
        <v>0</v>
      </c>
      <c r="X57" s="959"/>
      <c r="Y57" s="967">
        <f t="shared" si="2"/>
        <v>0</v>
      </c>
      <c r="Z57" s="959"/>
      <c r="AA57" s="967">
        <f t="shared" si="2"/>
        <v>0</v>
      </c>
      <c r="AB57" s="959"/>
      <c r="AC57" s="967">
        <f t="shared" si="2"/>
        <v>0</v>
      </c>
      <c r="AD57" s="959"/>
      <c r="AE57" s="967">
        <f t="shared" si="2"/>
        <v>0</v>
      </c>
      <c r="AF57" s="959"/>
      <c r="AG57" s="967">
        <f t="shared" si="2"/>
        <v>0</v>
      </c>
      <c r="AH57" s="959"/>
    </row>
    <row r="58" spans="1:34" s="3" customFormat="1">
      <c r="A58" s="961" t="s">
        <v>853</v>
      </c>
      <c r="C58" s="960"/>
      <c r="E58" s="959">
        <f>SUM(E53:E57)</f>
        <v>45000</v>
      </c>
      <c r="F58" s="959"/>
      <c r="G58" s="959">
        <f>SUM(G53:G57)</f>
        <v>46350</v>
      </c>
      <c r="H58" s="959"/>
      <c r="I58" s="959">
        <f>SUM(I53:I57)</f>
        <v>47740.5</v>
      </c>
      <c r="J58" s="959"/>
      <c r="K58" s="959">
        <f>SUM(K53:K57)</f>
        <v>49172.714999999997</v>
      </c>
      <c r="L58" s="959"/>
      <c r="M58" s="959">
        <f>SUM(M53:M57)</f>
        <v>50647.896449999993</v>
      </c>
      <c r="N58" s="959"/>
      <c r="O58" s="959">
        <f>SUM(O53:O57)</f>
        <v>52167.333343499995</v>
      </c>
      <c r="P58" s="959"/>
      <c r="Q58" s="959">
        <f>SUM(Q53:Q57)</f>
        <v>53732.353343804993</v>
      </c>
      <c r="R58" s="959"/>
      <c r="S58" s="959">
        <f>SUM(S53:S57)</f>
        <v>55344.323944119154</v>
      </c>
      <c r="T58" s="959"/>
      <c r="U58" s="959">
        <f>SUM(U53:U57)</f>
        <v>57004.653662442724</v>
      </c>
      <c r="V58" s="959"/>
      <c r="W58" s="959">
        <f>SUM(W53:W57)</f>
        <v>58714.793272316012</v>
      </c>
      <c r="X58" s="959"/>
      <c r="Y58" s="959">
        <f>SUM(Y53:Y57)</f>
        <v>60476.237070485498</v>
      </c>
      <c r="Z58" s="959"/>
      <c r="AA58" s="959">
        <f>SUM(AA53:AA57)</f>
        <v>62290.524182600057</v>
      </c>
      <c r="AB58" s="959"/>
      <c r="AC58" s="959">
        <f>SUM(AC53:AC57)</f>
        <v>64159.23990807806</v>
      </c>
      <c r="AD58" s="959"/>
      <c r="AE58" s="959">
        <f>SUM(AE53:AE57)</f>
        <v>66084.01710532041</v>
      </c>
      <c r="AF58" s="959"/>
      <c r="AG58" s="959">
        <f>SUM(AG53:AG57)</f>
        <v>68066.537618480026</v>
      </c>
      <c r="AH58" s="959"/>
    </row>
    <row r="59" spans="1:34" s="3" customFormat="1" ht="12.75" customHeight="1">
      <c r="A59" s="961"/>
      <c r="C59" s="960"/>
      <c r="E59" s="959"/>
      <c r="F59" s="959"/>
      <c r="G59" s="959"/>
      <c r="H59" s="959"/>
      <c r="I59" s="959"/>
      <c r="J59" s="959"/>
      <c r="K59" s="959"/>
      <c r="L59" s="959"/>
      <c r="M59" s="959"/>
      <c r="N59" s="959"/>
      <c r="O59" s="959"/>
      <c r="P59" s="959"/>
      <c r="Q59" s="959"/>
      <c r="R59" s="959"/>
      <c r="S59" s="959"/>
      <c r="T59" s="959"/>
      <c r="U59" s="959"/>
      <c r="V59" s="959"/>
      <c r="W59" s="959"/>
      <c r="X59" s="959"/>
      <c r="Y59" s="959"/>
      <c r="Z59" s="959"/>
      <c r="AA59" s="959"/>
      <c r="AB59" s="959"/>
      <c r="AC59" s="959"/>
      <c r="AD59" s="959"/>
      <c r="AE59" s="959"/>
      <c r="AF59" s="959"/>
      <c r="AG59" s="959"/>
      <c r="AH59" s="959"/>
    </row>
    <row r="60" spans="1:34" s="961" customFormat="1">
      <c r="A60" s="961" t="s">
        <v>858</v>
      </c>
      <c r="C60" s="968"/>
      <c r="E60" s="961">
        <f>E45-E58</f>
        <v>603604.85661900043</v>
      </c>
      <c r="G60" s="961">
        <f>G45-G58</f>
        <v>708613.94866176322</v>
      </c>
      <c r="I60" s="961">
        <f>I45-I58</f>
        <v>815437.87227227446</v>
      </c>
      <c r="K60" s="961">
        <f>K45-K58</f>
        <v>924093.64563906088</v>
      </c>
      <c r="M60" s="961">
        <f>M45-M58</f>
        <v>1034597.7206268375</v>
      </c>
      <c r="O60" s="961">
        <f>O45-O58</f>
        <v>1146965.9339275446</v>
      </c>
      <c r="Q60" s="961">
        <f>Q45-Q58</f>
        <v>1280209.0310206779</v>
      </c>
      <c r="S60" s="961">
        <f>S45-S58</f>
        <v>1396825.2007568465</v>
      </c>
      <c r="U60" s="961">
        <f>U45-U58</f>
        <v>1515360.6744458782</v>
      </c>
      <c r="W60" s="961">
        <f>W45-W58</f>
        <v>1635828.5861370298</v>
      </c>
      <c r="Y60" s="961">
        <f>Y45-Y58</f>
        <v>1758241.1792337778</v>
      </c>
      <c r="AA60" s="961">
        <f>AA45-AA58</f>
        <v>1882609.741588871</v>
      </c>
      <c r="AC60" s="961">
        <f>AC45-AC58</f>
        <v>2008944.5374853674</v>
      </c>
      <c r="AE60" s="961">
        <f>AE45-AE58</f>
        <v>1981874.1294463677</v>
      </c>
      <c r="AG60" s="961">
        <f>AG45-AG58</f>
        <v>2113576.0730976942</v>
      </c>
    </row>
    <row r="61" spans="1:34" s="3" customFormat="1" ht="8.25" customHeight="1">
      <c r="C61" s="960"/>
      <c r="E61" s="959"/>
      <c r="F61" s="959"/>
      <c r="G61" s="959"/>
      <c r="H61" s="959"/>
      <c r="I61" s="959"/>
      <c r="J61" s="959"/>
      <c r="K61" s="959"/>
      <c r="L61" s="959"/>
      <c r="M61" s="959"/>
      <c r="N61" s="959"/>
      <c r="O61" s="959"/>
      <c r="P61" s="959"/>
      <c r="Q61" s="959"/>
      <c r="R61" s="959"/>
      <c r="S61" s="959"/>
      <c r="T61" s="959"/>
      <c r="U61" s="959"/>
      <c r="V61" s="959"/>
      <c r="W61" s="959"/>
      <c r="X61" s="959"/>
      <c r="Y61" s="959"/>
      <c r="Z61" s="959"/>
      <c r="AA61" s="959"/>
      <c r="AB61" s="959"/>
      <c r="AC61" s="959"/>
      <c r="AD61" s="959"/>
      <c r="AE61" s="959"/>
      <c r="AF61" s="959"/>
      <c r="AG61" s="959"/>
      <c r="AH61" s="959"/>
    </row>
    <row r="62" spans="1:34" s="961" customFormat="1">
      <c r="A62" s="961" t="s">
        <v>857</v>
      </c>
      <c r="C62" s="958">
        <v>1</v>
      </c>
      <c r="E62" s="963">
        <f>E60</f>
        <v>603604.85661900043</v>
      </c>
      <c r="G62" s="961">
        <f>G60*$C$62</f>
        <v>708613.94866176322</v>
      </c>
      <c r="I62" s="961">
        <f>I60*$C$62</f>
        <v>815437.87227227446</v>
      </c>
      <c r="K62" s="961">
        <f>K60*$C$62</f>
        <v>924093.64563906088</v>
      </c>
      <c r="M62" s="961">
        <f>M60*$C$62</f>
        <v>1034597.7206268375</v>
      </c>
      <c r="O62" s="961">
        <f>O60*$C$62</f>
        <v>1146965.9339275446</v>
      </c>
      <c r="Q62" s="961">
        <f>Q60*$C$62</f>
        <v>1280209.0310206779</v>
      </c>
      <c r="S62" s="961">
        <f>S60*$C$62</f>
        <v>1396825.2007568465</v>
      </c>
      <c r="U62" s="961">
        <f>Application!AO628-SUM('15 Year Pro Forma'!E62:S62)</f>
        <v>1368098.7904759943</v>
      </c>
      <c r="W62" s="961">
        <v>0</v>
      </c>
      <c r="Y62" s="961">
        <v>0</v>
      </c>
      <c r="AA62" s="961">
        <v>0</v>
      </c>
      <c r="AC62" s="961">
        <v>0</v>
      </c>
      <c r="AE62" s="961">
        <v>0</v>
      </c>
      <c r="AG62" s="961">
        <v>0</v>
      </c>
    </row>
    <row r="63" spans="1:34" s="961" customFormat="1">
      <c r="A63" s="2696" t="s">
        <v>2742</v>
      </c>
      <c r="B63" s="2696"/>
      <c r="C63" s="2696"/>
    </row>
    <row r="64" spans="1:34" s="3" customFormat="1" ht="8.25" customHeight="1">
      <c r="C64" s="960"/>
      <c r="E64" s="959"/>
      <c r="F64" s="959"/>
      <c r="G64" s="959"/>
      <c r="H64" s="959"/>
      <c r="I64" s="959"/>
      <c r="J64" s="959"/>
      <c r="K64" s="959"/>
      <c r="L64" s="959"/>
      <c r="M64" s="959"/>
      <c r="N64" s="959"/>
      <c r="O64" s="959"/>
      <c r="P64" s="959"/>
      <c r="Q64" s="959"/>
      <c r="R64" s="959"/>
      <c r="S64" s="959"/>
      <c r="T64" s="959"/>
      <c r="U64" s="959"/>
      <c r="V64" s="959"/>
      <c r="W64" s="959"/>
      <c r="X64" s="959"/>
      <c r="Y64" s="959"/>
      <c r="Z64" s="959"/>
      <c r="AA64" s="959"/>
      <c r="AB64" s="959"/>
      <c r="AC64" s="959"/>
      <c r="AD64" s="959"/>
      <c r="AE64" s="959"/>
      <c r="AF64" s="959"/>
      <c r="AG64" s="959"/>
      <c r="AH64" s="959"/>
    </row>
    <row r="65" spans="1:34" s="3" customFormat="1">
      <c r="A65" s="3" t="s">
        <v>861</v>
      </c>
      <c r="C65" s="958">
        <v>0</v>
      </c>
      <c r="E65" s="959"/>
      <c r="F65" s="959"/>
      <c r="G65" s="959"/>
      <c r="H65" s="959"/>
      <c r="I65" s="959"/>
      <c r="J65" s="959"/>
      <c r="K65" s="959"/>
      <c r="L65" s="959"/>
      <c r="M65" s="959"/>
      <c r="N65" s="959"/>
      <c r="O65" s="959"/>
      <c r="P65" s="959"/>
      <c r="Q65" s="959"/>
      <c r="R65" s="959"/>
      <c r="S65" s="959"/>
      <c r="T65" s="959"/>
      <c r="U65" s="959"/>
      <c r="V65" s="959"/>
      <c r="W65" s="959"/>
      <c r="X65" s="959"/>
      <c r="Y65" s="959"/>
      <c r="Z65" s="959"/>
      <c r="AA65" s="959"/>
      <c r="AB65" s="959"/>
      <c r="AC65" s="959"/>
      <c r="AD65" s="959"/>
      <c r="AE65" s="959"/>
      <c r="AF65" s="959"/>
      <c r="AG65" s="959"/>
      <c r="AH65" s="959"/>
    </row>
    <row r="66" spans="1:34" s="961" customFormat="1">
      <c r="A66" s="963"/>
      <c r="B66" s="963"/>
      <c r="C66" s="962"/>
      <c r="E66" s="963"/>
      <c r="G66" s="959">
        <f>G60*$C$65</f>
        <v>0</v>
      </c>
      <c r="I66" s="959">
        <f>I60*$C$65</f>
        <v>0</v>
      </c>
      <c r="K66" s="959">
        <f>K60*$C$65</f>
        <v>0</v>
      </c>
      <c r="M66" s="959">
        <f>M60*$C$65</f>
        <v>0</v>
      </c>
      <c r="O66" s="959">
        <f>O60*$C$65</f>
        <v>0</v>
      </c>
      <c r="Q66" s="959">
        <f>Q60*$C$65</f>
        <v>0</v>
      </c>
      <c r="S66" s="959">
        <f>S60*$C$65</f>
        <v>0</v>
      </c>
      <c r="U66" s="959">
        <f>U60*$C$65</f>
        <v>0</v>
      </c>
      <c r="W66" s="959">
        <f>W60*$C$65</f>
        <v>0</v>
      </c>
      <c r="Y66" s="959">
        <f>Y60*$C$65</f>
        <v>0</v>
      </c>
      <c r="AA66" s="959">
        <f>AA60*$C$65</f>
        <v>0</v>
      </c>
      <c r="AC66" s="959">
        <f>AC60*$C$65</f>
        <v>0</v>
      </c>
      <c r="AE66" s="959">
        <f>AE60*$C$65</f>
        <v>0</v>
      </c>
      <c r="AG66" s="959">
        <f>AG60*$C$65</f>
        <v>0</v>
      </c>
    </row>
    <row r="67" spans="1:34" s="959" customFormat="1">
      <c r="A67" s="964"/>
      <c r="B67" s="964"/>
      <c r="C67" s="969"/>
      <c r="E67" s="963"/>
      <c r="G67" s="959">
        <f>G60*$C$65</f>
        <v>0</v>
      </c>
      <c r="I67" s="959">
        <f>I60*$C$65</f>
        <v>0</v>
      </c>
      <c r="K67" s="959">
        <f>K60*$C$65</f>
        <v>0</v>
      </c>
      <c r="M67" s="959">
        <f>M60*$C$65</f>
        <v>0</v>
      </c>
      <c r="O67" s="959">
        <f>O60*$C$65</f>
        <v>0</v>
      </c>
      <c r="Q67" s="959">
        <f>Q60*$C$65</f>
        <v>0</v>
      </c>
      <c r="S67" s="959">
        <f>S60*$C$65</f>
        <v>0</v>
      </c>
      <c r="U67" s="959">
        <f>U60*$C$65</f>
        <v>0</v>
      </c>
      <c r="W67" s="959">
        <f>W60*$C$65</f>
        <v>0</v>
      </c>
      <c r="Y67" s="959">
        <f>Y60*$C$65</f>
        <v>0</v>
      </c>
      <c r="AA67" s="959">
        <f>AA60*$C$65</f>
        <v>0</v>
      </c>
      <c r="AC67" s="959">
        <f>AC60*$C$65</f>
        <v>0</v>
      </c>
      <c r="AE67" s="959">
        <f>AE60*$C$65</f>
        <v>0</v>
      </c>
      <c r="AG67" s="959">
        <f>AG60*$C$65</f>
        <v>0</v>
      </c>
    </row>
    <row r="68" spans="1:34" s="959" customFormat="1">
      <c r="A68" s="964"/>
      <c r="B68" s="964"/>
      <c r="C68" s="969"/>
      <c r="E68" s="964"/>
      <c r="G68" s="959">
        <f t="shared" ref="G68:AG69" si="3">E68*$C$66</f>
        <v>0</v>
      </c>
      <c r="I68" s="959">
        <f t="shared" si="3"/>
        <v>0</v>
      </c>
      <c r="K68" s="959">
        <f t="shared" si="3"/>
        <v>0</v>
      </c>
      <c r="M68" s="959">
        <f t="shared" si="3"/>
        <v>0</v>
      </c>
      <c r="O68" s="959">
        <f t="shared" si="3"/>
        <v>0</v>
      </c>
      <c r="Q68" s="959">
        <f t="shared" si="3"/>
        <v>0</v>
      </c>
      <c r="S68" s="959">
        <f t="shared" si="3"/>
        <v>0</v>
      </c>
      <c r="U68" s="959">
        <f t="shared" si="3"/>
        <v>0</v>
      </c>
      <c r="W68" s="959">
        <f t="shared" si="3"/>
        <v>0</v>
      </c>
      <c r="Y68" s="959">
        <f t="shared" si="3"/>
        <v>0</v>
      </c>
      <c r="AA68" s="959">
        <f t="shared" si="3"/>
        <v>0</v>
      </c>
      <c r="AC68" s="959">
        <f t="shared" si="3"/>
        <v>0</v>
      </c>
      <c r="AE68" s="959">
        <f t="shared" si="3"/>
        <v>0</v>
      </c>
      <c r="AG68" s="959">
        <f t="shared" si="3"/>
        <v>0</v>
      </c>
    </row>
    <row r="69" spans="1:34" s="959" customFormat="1">
      <c r="A69" s="964"/>
      <c r="B69" s="964"/>
      <c r="C69" s="969"/>
      <c r="E69" s="966"/>
      <c r="G69" s="967">
        <f t="shared" si="3"/>
        <v>0</v>
      </c>
      <c r="I69" s="967">
        <f t="shared" si="3"/>
        <v>0</v>
      </c>
      <c r="K69" s="967">
        <f t="shared" si="3"/>
        <v>0</v>
      </c>
      <c r="M69" s="967">
        <f t="shared" si="3"/>
        <v>0</v>
      </c>
      <c r="O69" s="967">
        <f t="shared" si="3"/>
        <v>0</v>
      </c>
      <c r="Q69" s="967">
        <f t="shared" si="3"/>
        <v>0</v>
      </c>
      <c r="S69" s="967">
        <f t="shared" si="3"/>
        <v>0</v>
      </c>
      <c r="U69" s="967">
        <f t="shared" si="3"/>
        <v>0</v>
      </c>
      <c r="W69" s="967">
        <f t="shared" si="3"/>
        <v>0</v>
      </c>
      <c r="Y69" s="967">
        <f t="shared" si="3"/>
        <v>0</v>
      </c>
      <c r="AA69" s="967">
        <f t="shared" si="3"/>
        <v>0</v>
      </c>
      <c r="AC69" s="967">
        <f t="shared" si="3"/>
        <v>0</v>
      </c>
      <c r="AE69" s="967">
        <f t="shared" si="3"/>
        <v>0</v>
      </c>
      <c r="AG69" s="967">
        <f t="shared" si="3"/>
        <v>0</v>
      </c>
    </row>
    <row r="70" spans="1:34" s="959" customFormat="1">
      <c r="A70" s="961" t="s">
        <v>853</v>
      </c>
      <c r="C70" s="969"/>
      <c r="E70" s="959">
        <f>SUM(E66:E69)</f>
        <v>0</v>
      </c>
      <c r="G70" s="959">
        <f>SUM(G66:G69)</f>
        <v>0</v>
      </c>
      <c r="I70" s="959">
        <f>SUM(I66:I69)</f>
        <v>0</v>
      </c>
      <c r="K70" s="959">
        <f>SUM(K66:K69)</f>
        <v>0</v>
      </c>
      <c r="M70" s="959">
        <f>SUM(M66:M69)</f>
        <v>0</v>
      </c>
      <c r="O70" s="959">
        <f>SUM(O66:O69)</f>
        <v>0</v>
      </c>
      <c r="Q70" s="959">
        <f>SUM(Q66:Q69)</f>
        <v>0</v>
      </c>
      <c r="S70" s="959">
        <f>SUM(S66:S69)</f>
        <v>0</v>
      </c>
      <c r="U70" s="959">
        <f>SUM(U66:U69)</f>
        <v>0</v>
      </c>
      <c r="W70" s="959">
        <f>SUM(W66:W69)</f>
        <v>0</v>
      </c>
      <c r="Y70" s="959">
        <f>SUM(Y66:Y69)</f>
        <v>0</v>
      </c>
      <c r="AA70" s="959">
        <f>SUM(AA66:AA69)</f>
        <v>0</v>
      </c>
      <c r="AC70" s="959">
        <f>SUM(AC66:AC69)</f>
        <v>0</v>
      </c>
      <c r="AE70" s="959">
        <f>SUM(AE66:AE69)</f>
        <v>0</v>
      </c>
      <c r="AG70" s="959">
        <f>SUM(AG66:AG69)</f>
        <v>0</v>
      </c>
    </row>
    <row r="71" spans="1:34" s="959" customFormat="1">
      <c r="A71" s="961"/>
      <c r="C71" s="969"/>
    </row>
    <row r="72" spans="1:34" s="959" customFormat="1">
      <c r="A72" s="961" t="s">
        <v>1722</v>
      </c>
      <c r="C72" s="969"/>
      <c r="E72" s="961">
        <f>E60-E62-E70</f>
        <v>0</v>
      </c>
      <c r="G72" s="961">
        <f>G60-G62-G70</f>
        <v>0</v>
      </c>
      <c r="I72" s="961">
        <f>I60-I62-I70</f>
        <v>0</v>
      </c>
      <c r="K72" s="961">
        <f>K60-K62-K70</f>
        <v>0</v>
      </c>
      <c r="M72" s="961">
        <f>M60-M62-M70</f>
        <v>0</v>
      </c>
      <c r="O72" s="961">
        <f>O60-O62-O70</f>
        <v>0</v>
      </c>
      <c r="Q72" s="961">
        <f>Q60-Q62-Q70</f>
        <v>0</v>
      </c>
      <c r="S72" s="961">
        <f>S60-S62-S70</f>
        <v>0</v>
      </c>
      <c r="U72" s="961">
        <f>U60-U62-U70</f>
        <v>147261.8839698839</v>
      </c>
      <c r="W72" s="961">
        <f>W60-W62-W70</f>
        <v>1635828.5861370298</v>
      </c>
      <c r="Y72" s="961">
        <f>Y60-Y62-Y70</f>
        <v>1758241.1792337778</v>
      </c>
      <c r="AA72" s="961">
        <f>AA60-AA62-AA70</f>
        <v>1882609.741588871</v>
      </c>
      <c r="AC72" s="961">
        <f>AC60-AC62-AC70</f>
        <v>2008944.5374853674</v>
      </c>
      <c r="AE72" s="961">
        <f>AE60-AE62-AE70</f>
        <v>1981874.1294463677</v>
      </c>
      <c r="AG72" s="961">
        <f>AG60-AG62-AG70</f>
        <v>2113576.0730976942</v>
      </c>
    </row>
    <row r="73" spans="1:34" s="959" customFormat="1">
      <c r="A73" s="529"/>
      <c r="C73" s="969"/>
    </row>
    <row r="74" spans="1:34" s="217" customFormat="1">
      <c r="A74" s="529"/>
      <c r="C74" s="183"/>
    </row>
    <row r="75" spans="1:34" s="217" customFormat="1">
      <c r="A75" s="959" t="s">
        <v>1721</v>
      </c>
      <c r="C75" s="183"/>
    </row>
    <row r="76" spans="1:34" s="217" customFormat="1">
      <c r="C76" s="183"/>
    </row>
    <row r="77" spans="1:34" s="234" customFormat="1" ht="30" customHeight="1">
      <c r="A77" s="2694" t="s">
        <v>1720</v>
      </c>
      <c r="B77" s="2695"/>
      <c r="C77" s="2695"/>
      <c r="D77" s="2695"/>
      <c r="E77" s="2695"/>
      <c r="F77" s="2695"/>
      <c r="G77" s="2695"/>
      <c r="H77" s="2695"/>
      <c r="I77" s="2695"/>
      <c r="J77" s="2695"/>
      <c r="K77" s="2695"/>
      <c r="L77" s="2695"/>
      <c r="M77" s="2695"/>
      <c r="N77" s="2695"/>
      <c r="O77" s="2695"/>
      <c r="P77" s="2695"/>
      <c r="Q77" s="2695"/>
      <c r="R77" s="2695"/>
      <c r="S77" s="2695"/>
      <c r="T77" s="2695"/>
      <c r="U77" s="2695"/>
      <c r="V77" s="2695"/>
      <c r="W77" s="2695"/>
      <c r="X77" s="2695"/>
      <c r="Y77" s="2695"/>
      <c r="Z77" s="2695"/>
      <c r="AA77" s="2695"/>
      <c r="AB77" s="2695"/>
      <c r="AC77" s="2695"/>
      <c r="AD77" s="2695"/>
      <c r="AE77" s="2695"/>
      <c r="AF77" s="2695"/>
      <c r="AG77" s="2695"/>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970</v>
      </c>
    </row>
    <row r="2" spans="1:1" ht="15.75">
      <c r="A2" s="314"/>
    </row>
    <row r="3" spans="1:1" ht="15.75">
      <c r="A3" s="315" t="s">
        <v>965</v>
      </c>
    </row>
    <row r="4" spans="1:1" ht="15.75">
      <c r="A4" s="315" t="s">
        <v>966</v>
      </c>
    </row>
    <row r="5" spans="1:1" ht="15.75">
      <c r="A5" s="315" t="s">
        <v>967</v>
      </c>
    </row>
    <row r="6" spans="1:1" ht="15.75">
      <c r="A6" s="315" t="s">
        <v>969</v>
      </c>
    </row>
    <row r="7" spans="1:1" ht="15.75">
      <c r="A7" s="315" t="s">
        <v>968</v>
      </c>
    </row>
    <row r="8" spans="1:1" ht="15.75">
      <c r="A8" s="346" t="s">
        <v>1023</v>
      </c>
    </row>
    <row r="9" spans="1:1" ht="15.7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75" workbookViewId="0">
      <selection activeCell="B92" sqref="B92"/>
    </sheetView>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1216</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0</v>
      </c>
      <c r="C9" s="270">
        <f>SUM(C5:C8)</f>
        <v>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0</v>
      </c>
      <c r="C13" s="270">
        <f>SUM(C9+C12)</f>
        <v>0</v>
      </c>
      <c r="D13" s="270">
        <f t="shared" si="0"/>
        <v>0</v>
      </c>
      <c r="E13" s="268"/>
      <c r="F13" s="267"/>
    </row>
    <row r="14" spans="1:6" s="352" customFormat="1">
      <c r="A14" s="366" t="s">
        <v>902</v>
      </c>
      <c r="B14" s="266">
        <f>'Sources and Uses Budget'!$C13</f>
        <v>114300</v>
      </c>
      <c r="C14" s="266">
        <f>'Sources and Uses Budget'!$C13</f>
        <v>114300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7"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0</v>
      </c>
      <c r="C30" s="266">
        <f>'Sources and Uses Budget'!$C29</f>
        <v>0</v>
      </c>
      <c r="D30" s="270">
        <f t="shared" si="0"/>
        <v>0</v>
      </c>
      <c r="E30" s="268"/>
      <c r="F30" s="267"/>
    </row>
    <row r="31" spans="1:6" s="352" customFormat="1">
      <c r="A31" s="145" t="s">
        <v>599</v>
      </c>
      <c r="B31" s="266">
        <f>'Sources and Uses Budget'!$C30</f>
        <v>70691438</v>
      </c>
      <c r="C31" s="266">
        <f>'Sources and Uses Budget'!$C30</f>
        <v>70691438</v>
      </c>
      <c r="D31" s="270">
        <f t="shared" si="0"/>
        <v>0</v>
      </c>
      <c r="E31" s="268"/>
      <c r="F31" s="267"/>
    </row>
    <row r="32" spans="1:6" s="352" customFormat="1">
      <c r="A32" s="145" t="s">
        <v>600</v>
      </c>
      <c r="B32" s="266">
        <f>'Sources and Uses Budget'!$C31</f>
        <v>4531138</v>
      </c>
      <c r="C32" s="266">
        <f>'Sources and Uses Budget'!$C31</f>
        <v>4531138</v>
      </c>
      <c r="D32" s="270">
        <f t="shared" si="0"/>
        <v>0</v>
      </c>
      <c r="E32" s="268"/>
      <c r="F32" s="267"/>
    </row>
    <row r="33" spans="1:6" s="352" customFormat="1">
      <c r="A33" s="145" t="s">
        <v>137</v>
      </c>
      <c r="B33" s="266">
        <f>'Sources and Uses Budget'!$C32</f>
        <v>3008903</v>
      </c>
      <c r="C33" s="266">
        <f>'Sources and Uses Budget'!$C32</f>
        <v>3008903</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391158</v>
      </c>
      <c r="C36" s="266">
        <f>'Sources and Uses Budget'!$C35</f>
        <v>391158</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 xml:space="preserve">Other: Payment &amp; Performance Bonds </v>
      </c>
      <c r="B38" s="266">
        <f>'Sources and Uses Budget'!$C37</f>
        <v>786226</v>
      </c>
      <c r="C38" s="266">
        <f>'Sources and Uses Budget'!$C37</f>
        <v>786226</v>
      </c>
      <c r="D38" s="270">
        <f t="shared" si="0"/>
        <v>0</v>
      </c>
      <c r="E38" s="268"/>
      <c r="F38" s="267"/>
    </row>
    <row r="39" spans="1:6" s="352" customFormat="1">
      <c r="A39" s="271" t="s">
        <v>143</v>
      </c>
      <c r="B39" s="270">
        <f>SUM(B30:B38)</f>
        <v>79408863</v>
      </c>
      <c r="C39" s="270">
        <f>SUM(C30:C38)</f>
        <v>79408863</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1010000</v>
      </c>
      <c r="C41" s="266">
        <f>'Sources and Uses Budget'!$C40</f>
        <v>1010000</v>
      </c>
      <c r="D41" s="270">
        <f t="shared" si="0"/>
        <v>0</v>
      </c>
      <c r="E41" s="268"/>
      <c r="F41" s="267"/>
    </row>
    <row r="42" spans="1:6" s="352" customFormat="1">
      <c r="A42" s="269" t="s">
        <v>146</v>
      </c>
      <c r="B42" s="266">
        <f>'Sources and Uses Budget'!$C41</f>
        <v>240000</v>
      </c>
      <c r="C42" s="266">
        <f>'Sources and Uses Budget'!$C41</f>
        <v>240000</v>
      </c>
      <c r="D42" s="270">
        <f t="shared" si="0"/>
        <v>0</v>
      </c>
      <c r="E42" s="268"/>
      <c r="F42" s="267"/>
    </row>
    <row r="43" spans="1:6" s="352" customFormat="1">
      <c r="A43" s="271" t="s">
        <v>147</v>
      </c>
      <c r="B43" s="270">
        <f>SUM(B41:B42)</f>
        <v>1250000</v>
      </c>
      <c r="C43" s="270">
        <f>SUM(C41:C42)</f>
        <v>1250000</v>
      </c>
      <c r="D43" s="270">
        <f t="shared" si="0"/>
        <v>0</v>
      </c>
      <c r="E43" s="268"/>
      <c r="F43" s="267"/>
    </row>
    <row r="44" spans="1:6" s="352" customFormat="1">
      <c r="A44" s="271" t="s">
        <v>148</v>
      </c>
      <c r="B44" s="266">
        <f>'Sources and Uses Budget'!$C43</f>
        <v>1391800</v>
      </c>
      <c r="C44" s="266">
        <f>'Sources and Uses Budget'!$C43</f>
        <v>1391800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5675453</v>
      </c>
      <c r="C46" s="266">
        <f>'Sources and Uses Budget'!$C45</f>
        <v>5675453</v>
      </c>
      <c r="D46" s="270">
        <f t="shared" si="0"/>
        <v>0</v>
      </c>
      <c r="E46" s="268"/>
      <c r="F46" s="267"/>
    </row>
    <row r="47" spans="1:6" s="352" customFormat="1">
      <c r="A47" s="145" t="s">
        <v>151</v>
      </c>
      <c r="B47" s="266">
        <f>'Sources and Uses Budget'!$C46</f>
        <v>775350</v>
      </c>
      <c r="C47" s="266">
        <f>'Sources and Uses Budget'!$C46</f>
        <v>775350</v>
      </c>
      <c r="D47" s="270">
        <f t="shared" si="0"/>
        <v>0</v>
      </c>
      <c r="E47" s="268"/>
      <c r="F47" s="267"/>
    </row>
    <row r="48" spans="1:6" s="352" customFormat="1" ht="12" customHeight="1">
      <c r="A48" s="186" t="s">
        <v>152</v>
      </c>
      <c r="B48" s="266">
        <f>'Sources and Uses Budget'!$C47</f>
        <v>996400</v>
      </c>
      <c r="C48" s="266">
        <f>'Sources and Uses Budget'!$C47</f>
        <v>996400</v>
      </c>
      <c r="D48" s="270">
        <f t="shared" si="0"/>
        <v>0</v>
      </c>
      <c r="E48" s="268"/>
      <c r="F48" s="267"/>
    </row>
    <row r="49" spans="1:6" s="352" customFormat="1">
      <c r="A49" s="145" t="s">
        <v>153</v>
      </c>
      <c r="B49" s="266">
        <f>'Sources and Uses Budget'!$C48</f>
        <v>337960</v>
      </c>
      <c r="C49" s="266">
        <f>'Sources and Uses Budget'!$C48</f>
        <v>337960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119000</v>
      </c>
      <c r="C51" s="266">
        <f>'Sources and Uses Budget'!$C50</f>
        <v>119000</v>
      </c>
      <c r="D51" s="270">
        <f t="shared" si="0"/>
        <v>0</v>
      </c>
      <c r="E51" s="268"/>
      <c r="F51" s="267"/>
    </row>
    <row r="52" spans="1:6" s="352" customFormat="1">
      <c r="A52" s="283" t="s">
        <v>154</v>
      </c>
      <c r="B52" s="266">
        <f>'Sources and Uses Budget'!$C51</f>
        <v>748500</v>
      </c>
      <c r="C52" s="266">
        <f>'Sources and Uses Budget'!$C51</f>
        <v>748500</v>
      </c>
      <c r="D52" s="270">
        <f t="shared" si="0"/>
        <v>0</v>
      </c>
      <c r="E52" s="268"/>
      <c r="F52" s="267"/>
    </row>
    <row r="53" spans="1:6" s="352" customFormat="1">
      <c r="A53" s="145" t="s">
        <v>155</v>
      </c>
      <c r="B53" s="266">
        <f>'Sources and Uses Budget'!$C52</f>
        <v>1420000</v>
      </c>
      <c r="C53" s="266">
        <f>'Sources and Uses Budget'!$C52</f>
        <v>1420000</v>
      </c>
      <c r="D53" s="270">
        <f t="shared" si="0"/>
        <v>0</v>
      </c>
      <c r="E53" s="268"/>
      <c r="F53" s="267"/>
    </row>
    <row r="54" spans="1:6" s="352" customFormat="1">
      <c r="A54" s="155" t="str">
        <f>'Sources and Uses Budget'!A53</f>
        <v>Ground Lease Interest Pre-Conversion</v>
      </c>
      <c r="B54" s="266">
        <f>'Sources and Uses Budget'!$C53</f>
        <v>2129378</v>
      </c>
      <c r="C54" s="266">
        <f>'Sources and Uses Budget'!$C53</f>
        <v>2129378</v>
      </c>
      <c r="D54" s="270">
        <f t="shared" si="0"/>
        <v>0</v>
      </c>
      <c r="E54" s="268"/>
      <c r="F54" s="267"/>
    </row>
    <row r="55" spans="1:6" s="353" customFormat="1">
      <c r="A55" s="271" t="s">
        <v>157</v>
      </c>
      <c r="B55" s="273">
        <f>SUM(B46:B54)</f>
        <v>12202041</v>
      </c>
      <c r="C55" s="273">
        <f>SUM(C46:C54)</f>
        <v>12202041</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479583</v>
      </c>
      <c r="C57" s="266">
        <f>'Sources and Uses Budget'!$C56</f>
        <v>479583</v>
      </c>
      <c r="D57" s="270">
        <f t="shared" si="0"/>
        <v>0</v>
      </c>
      <c r="E57" s="268"/>
      <c r="F57" s="267"/>
    </row>
    <row r="58" spans="1:6" s="352" customFormat="1" ht="12" customHeight="1">
      <c r="A58" s="269" t="s">
        <v>152</v>
      </c>
      <c r="B58" s="266">
        <f>'Sources and Uses Budget'!$C57</f>
        <v>30000</v>
      </c>
      <c r="C58" s="266">
        <f>'Sources and Uses Budget'!$C57</f>
        <v>30000</v>
      </c>
      <c r="D58" s="270">
        <f t="shared" si="0"/>
        <v>0</v>
      </c>
      <c r="E58" s="268"/>
      <c r="F58" s="267"/>
    </row>
    <row r="59" spans="1:6" s="352" customFormat="1">
      <c r="A59" s="269" t="s">
        <v>156</v>
      </c>
      <c r="B59" s="266">
        <f>'Sources and Uses Budget'!$C58</f>
        <v>51000</v>
      </c>
      <c r="C59" s="266">
        <f>'Sources and Uses Budget'!$C58</f>
        <v>51000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8" t="str">
        <f>'Sources and Uses Budget'!A61</f>
        <v>Construction Loan Interest Post-CofO</v>
      </c>
      <c r="B62" s="266">
        <f>'Sources and Uses Budget'!$C61</f>
        <v>3568206</v>
      </c>
      <c r="C62" s="266">
        <f>'Sources and Uses Budget'!$C61</f>
        <v>3568206</v>
      </c>
      <c r="D62" s="270">
        <f t="shared" si="0"/>
        <v>0</v>
      </c>
      <c r="E62" s="268"/>
      <c r="F62" s="267"/>
    </row>
    <row r="63" spans="1:6" s="352" customFormat="1" ht="13.7" customHeight="1">
      <c r="A63" s="271" t="s">
        <v>301</v>
      </c>
      <c r="B63" s="270">
        <f>SUM(B57:B62)</f>
        <v>4128789</v>
      </c>
      <c r="C63" s="270">
        <f>SUM(C57:C62)</f>
        <v>4128789</v>
      </c>
      <c r="D63" s="270">
        <f t="shared" si="0"/>
        <v>0</v>
      </c>
      <c r="E63" s="268"/>
      <c r="F63" s="267"/>
    </row>
    <row r="64" spans="1:6" s="352" customFormat="1">
      <c r="A64" s="274" t="s">
        <v>302</v>
      </c>
      <c r="B64" s="270">
        <f>SUM(B9+B12+B14+B15+B17+B26+B28+B39+B43+B44+B55+B63)</f>
        <v>98495793</v>
      </c>
      <c r="C64" s="270">
        <f>SUM(C9+C12+C14+C15+C17+C26+C28+C39+C43+C44+C55+C63)</f>
        <v>98495793</v>
      </c>
      <c r="D64" s="270">
        <f t="shared" si="0"/>
        <v>0</v>
      </c>
      <c r="E64" s="268"/>
      <c r="F64" s="267"/>
    </row>
    <row r="65" spans="1:6" s="352" customFormat="1" ht="24">
      <c r="A65" s="141" t="s">
        <v>1643</v>
      </c>
      <c r="B65" s="264"/>
      <c r="C65" s="264"/>
      <c r="D65" s="264"/>
      <c r="E65" s="282"/>
      <c r="F65" s="264"/>
    </row>
    <row r="66" spans="1:6" s="352" customFormat="1">
      <c r="A66" s="145" t="s">
        <v>171</v>
      </c>
      <c r="B66" s="266">
        <f>'Sources and Uses Budget'!$C65</f>
        <v>255000</v>
      </c>
      <c r="C66" s="266">
        <f>'Sources and Uses Budget'!$C65</f>
        <v>255000</v>
      </c>
      <c r="D66" s="270">
        <f t="shared" si="0"/>
        <v>0</v>
      </c>
      <c r="E66" s="268"/>
      <c r="F66" s="267"/>
    </row>
    <row r="67" spans="1:6" s="352" customFormat="1" ht="24">
      <c r="A67" s="283" t="s">
        <v>1640</v>
      </c>
      <c r="B67" s="266">
        <f>'Sources and Uses Budget'!$C66</f>
        <v>0</v>
      </c>
      <c r="C67" s="266">
        <f>'Sources and Uses Budget'!$C66</f>
        <v>0</v>
      </c>
      <c r="D67" s="270"/>
      <c r="E67" s="268"/>
      <c r="F67" s="267"/>
    </row>
    <row r="68" spans="1:6" s="352" customFormat="1" ht="24">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Other: Partnership Legal/Other</v>
      </c>
      <c r="B70" s="266">
        <f>'Sources and Uses Budget'!$C69</f>
        <v>295000</v>
      </c>
      <c r="C70" s="266">
        <f>'Sources and Uses Budget'!$C69</f>
        <v>295000</v>
      </c>
      <c r="D70" s="270">
        <f t="shared" si="0"/>
        <v>0</v>
      </c>
      <c r="E70" s="268"/>
      <c r="F70" s="267"/>
    </row>
    <row r="71" spans="1:6" s="352" customFormat="1">
      <c r="A71" s="149" t="s">
        <v>1644</v>
      </c>
      <c r="B71" s="270">
        <f>SUM(B66:B70)</f>
        <v>550000</v>
      </c>
      <c r="C71" s="270">
        <f>SUM(C66:C70)</f>
        <v>550000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605</v>
      </c>
      <c r="B76" s="266">
        <f>'Sources and Uses Budget'!$C75</f>
        <v>1877479</v>
      </c>
      <c r="C76" s="266">
        <f>'Sources and Uses Budget'!$C75</f>
        <v>1877479</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1877479</v>
      </c>
      <c r="C78" s="270">
        <f>SUM(C73:C77)</f>
        <v>1877479</v>
      </c>
      <c r="D78" s="270">
        <f t="shared" ref="D78:D106" si="1">C78-B78</f>
        <v>0</v>
      </c>
      <c r="E78" s="268"/>
      <c r="F78" s="267"/>
    </row>
    <row r="79" spans="1:6" s="352" customFormat="1">
      <c r="A79" s="264" t="s">
        <v>1209</v>
      </c>
      <c r="B79" s="264"/>
      <c r="C79" s="264"/>
      <c r="D79" s="264"/>
      <c r="E79" s="282"/>
      <c r="F79" s="264"/>
    </row>
    <row r="80" spans="1:6" s="352" customFormat="1">
      <c r="A80" s="510" t="s">
        <v>1211</v>
      </c>
      <c r="B80" s="266">
        <f>'Sources and Uses Budget'!$C79</f>
        <v>3970443</v>
      </c>
      <c r="C80" s="266">
        <f>'Sources and Uses Budget'!$C79</f>
        <v>3970443</v>
      </c>
      <c r="D80" s="270">
        <f t="shared" si="1"/>
        <v>0</v>
      </c>
      <c r="E80" s="268"/>
      <c r="F80" s="267"/>
    </row>
    <row r="81" spans="1:6" s="352" customFormat="1">
      <c r="A81" s="510" t="s">
        <v>58</v>
      </c>
      <c r="B81" s="266">
        <f>'Sources and Uses Budget'!$C80</f>
        <v>1100000</v>
      </c>
      <c r="C81" s="266">
        <f>'Sources and Uses Budget'!$C80</f>
        <v>1100000</v>
      </c>
      <c r="D81" s="270">
        <f>C81-B81</f>
        <v>0</v>
      </c>
      <c r="E81" s="268"/>
      <c r="F81" s="267"/>
    </row>
    <row r="82" spans="1:6" s="352" customFormat="1">
      <c r="A82" s="271" t="s">
        <v>1208</v>
      </c>
      <c r="B82" s="270">
        <f>SUM(B80:B81)</f>
        <v>5070443</v>
      </c>
      <c r="C82" s="270">
        <f>SUM(C80:C81)</f>
        <v>5070443</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149324</v>
      </c>
      <c r="C84" s="266">
        <f>'Sources and Uses Budget'!$C83</f>
        <v>149324</v>
      </c>
      <c r="D84" s="270">
        <f t="shared" si="1"/>
        <v>0</v>
      </c>
      <c r="E84" s="268"/>
      <c r="F84" s="267"/>
    </row>
    <row r="85" spans="1:6" s="352" customFormat="1">
      <c r="A85" s="269" t="s">
        <v>767</v>
      </c>
      <c r="B85" s="266">
        <f>'Sources and Uses Budget'!$C84</f>
        <v>9300</v>
      </c>
      <c r="C85" s="266">
        <f>'Sources and Uses Budget'!$C84</f>
        <v>9300</v>
      </c>
      <c r="D85" s="270">
        <f t="shared" si="1"/>
        <v>0</v>
      </c>
      <c r="E85" s="268"/>
      <c r="F85" s="267"/>
    </row>
    <row r="86" spans="1:6" s="352" customFormat="1">
      <c r="A86" s="269" t="s">
        <v>768</v>
      </c>
      <c r="B86" s="266">
        <f>'Sources and Uses Budget'!$C85</f>
        <v>224115</v>
      </c>
      <c r="C86" s="266">
        <f>'Sources and Uses Budget'!$C85</f>
        <v>224115</v>
      </c>
      <c r="D86" s="270">
        <f t="shared" si="1"/>
        <v>0</v>
      </c>
      <c r="E86" s="268"/>
      <c r="F86" s="267"/>
    </row>
    <row r="87" spans="1:6" s="352" customFormat="1">
      <c r="A87" s="269" t="s">
        <v>769</v>
      </c>
      <c r="B87" s="266">
        <f>'Sources and Uses Budget'!$C86</f>
        <v>1773705</v>
      </c>
      <c r="C87" s="266">
        <f>'Sources and Uses Budget'!$C86</f>
        <v>1773705</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214000</v>
      </c>
      <c r="C89" s="266">
        <f>'Sources and Uses Budget'!$C88</f>
        <v>214000</v>
      </c>
      <c r="D89" s="270">
        <f t="shared" si="1"/>
        <v>0</v>
      </c>
      <c r="E89" s="268"/>
      <c r="F89" s="267"/>
    </row>
    <row r="90" spans="1:6" s="352" customFormat="1">
      <c r="A90" s="269" t="s">
        <v>772</v>
      </c>
      <c r="B90" s="266">
        <f>'Sources and Uses Budget'!$C89</f>
        <v>1020000</v>
      </c>
      <c r="C90" s="266">
        <f>'Sources and Uses Budget'!$C89</f>
        <v>1020000</v>
      </c>
      <c r="D90" s="270">
        <f t="shared" si="1"/>
        <v>0</v>
      </c>
      <c r="E90" s="268"/>
      <c r="F90" s="267"/>
    </row>
    <row r="91" spans="1:6" s="352" customFormat="1">
      <c r="A91" s="269" t="s">
        <v>773</v>
      </c>
      <c r="B91" s="266">
        <f>'Sources and Uses Budget'!$C90</f>
        <v>7600</v>
      </c>
      <c r="C91" s="266">
        <f>'Sources and Uses Budget'!$C90</f>
        <v>7600</v>
      </c>
      <c r="D91" s="270">
        <f t="shared" si="1"/>
        <v>0</v>
      </c>
      <c r="E91" s="268"/>
      <c r="F91" s="267"/>
    </row>
    <row r="92" spans="1:6" s="352" customFormat="1">
      <c r="A92" s="269" t="s">
        <v>372</v>
      </c>
      <c r="B92" s="266">
        <f>'Sources and Uses Budget'!$C91</f>
        <v>120000</v>
      </c>
      <c r="C92" s="266">
        <f>'Sources and Uses Budget'!$C91</f>
        <v>120000</v>
      </c>
      <c r="D92" s="270">
        <f t="shared" si="1"/>
        <v>0</v>
      </c>
      <c r="E92" s="268"/>
      <c r="F92" s="267"/>
    </row>
    <row r="93" spans="1:6" s="352" customFormat="1">
      <c r="A93" s="510" t="s">
        <v>1210</v>
      </c>
      <c r="B93" s="266">
        <f>'Sources and Uses Budget'!$C92</f>
        <v>0</v>
      </c>
      <c r="C93" s="266">
        <f>'Sources and Uses Budget'!$C92</f>
        <v>0</v>
      </c>
      <c r="D93" s="270">
        <f t="shared" si="1"/>
        <v>0</v>
      </c>
      <c r="E93" s="268"/>
      <c r="F93" s="267"/>
    </row>
    <row r="94" spans="1:6" s="352" customFormat="1">
      <c r="A94" s="272" t="s">
        <v>34</v>
      </c>
      <c r="B94" s="266">
        <f>'Sources and Uses Budget'!$C93</f>
        <v>18200</v>
      </c>
      <c r="C94" s="266">
        <f>'Sources and Uses Budget'!$C93</f>
        <v>18200</v>
      </c>
      <c r="D94" s="270">
        <f t="shared" si="1"/>
        <v>0</v>
      </c>
      <c r="E94" s="268"/>
      <c r="F94" s="267"/>
    </row>
    <row r="95" spans="1:6" s="352" customFormat="1">
      <c r="A95" s="272" t="s">
        <v>34</v>
      </c>
      <c r="B95" s="266">
        <f>'Sources and Uses Budget'!$C94</f>
        <v>355000</v>
      </c>
      <c r="C95" s="266">
        <f>'Sources and Uses Budget'!$C94</f>
        <v>355000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3891244</v>
      </c>
      <c r="C97" s="270">
        <f>SUM(C84:C96)</f>
        <v>3891244</v>
      </c>
      <c r="D97" s="270">
        <f t="shared" si="1"/>
        <v>0</v>
      </c>
      <c r="E97" s="268"/>
      <c r="F97" s="267"/>
    </row>
    <row r="98" spans="1:6" s="352" customFormat="1">
      <c r="A98" s="271" t="s">
        <v>775</v>
      </c>
      <c r="B98" s="270">
        <f>SUM(B64+B71+B78+B82+B97)</f>
        <v>109884959</v>
      </c>
      <c r="C98" s="270">
        <f>SUM(C64+C71+C78+C82+C97)</f>
        <v>109884959</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14854712</v>
      </c>
      <c r="C100" s="266">
        <f>'Sources and Uses Budget'!$C99</f>
        <v>14854712</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8"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14854712</v>
      </c>
      <c r="C105" s="270">
        <f>SUM(C100:C104)</f>
        <v>14854712</v>
      </c>
      <c r="D105" s="270">
        <f t="shared" si="1"/>
        <v>0</v>
      </c>
      <c r="E105" s="268"/>
      <c r="F105" s="267"/>
    </row>
    <row r="106" spans="1:6" s="352" customFormat="1">
      <c r="A106" s="271" t="s">
        <v>780</v>
      </c>
      <c r="B106" s="273">
        <f>SUM(B98+B105)</f>
        <v>124739671</v>
      </c>
      <c r="C106" s="273">
        <f>SUM(C98+C105)</f>
        <v>124739671</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3" t="s">
        <v>1868</v>
      </c>
      <c r="B1" s="1274"/>
      <c r="C1" s="1274"/>
      <c r="D1" s="1274"/>
      <c r="E1" s="1274"/>
      <c r="F1" s="1274"/>
      <c r="G1" s="1274"/>
      <c r="H1" s="1274"/>
      <c r="I1" s="1274"/>
      <c r="J1" s="1274"/>
    </row>
    <row r="2" spans="1:10" ht="15">
      <c r="A2" s="1277" t="s">
        <v>1267</v>
      </c>
      <c r="B2" s="1278"/>
      <c r="C2" s="1278"/>
      <c r="D2" s="1278"/>
      <c r="E2" s="1278"/>
      <c r="F2" s="1278"/>
      <c r="G2" s="1278"/>
      <c r="H2" s="1278"/>
      <c r="I2" s="1278"/>
      <c r="J2" s="1278"/>
    </row>
    <row r="3" spans="1:10" ht="12.75"/>
    <row r="4" spans="1:10" ht="12.75" customHeight="1">
      <c r="A4" s="1275" t="s">
        <v>2046</v>
      </c>
      <c r="B4" s="1275"/>
      <c r="C4" s="1275"/>
      <c r="D4" s="1275"/>
      <c r="E4" s="1275"/>
      <c r="F4" s="1275"/>
      <c r="G4" s="1275"/>
      <c r="H4" s="1275"/>
      <c r="I4" s="1275"/>
      <c r="J4" s="1275"/>
    </row>
    <row r="5" spans="1:10" ht="12.75">
      <c r="A5" s="1275"/>
      <c r="B5" s="1275"/>
      <c r="C5" s="1275"/>
      <c r="D5" s="1275"/>
      <c r="E5" s="1275"/>
      <c r="F5" s="1275"/>
      <c r="G5" s="1275"/>
      <c r="H5" s="1275"/>
      <c r="I5" s="1275"/>
      <c r="J5" s="1275"/>
    </row>
    <row r="6" spans="1:10" ht="30" customHeight="1">
      <c r="A6" s="1275"/>
      <c r="B6" s="1275"/>
      <c r="C6" s="1275"/>
      <c r="D6" s="1275"/>
      <c r="E6" s="1275"/>
      <c r="F6" s="1275"/>
      <c r="G6" s="1275"/>
      <c r="H6" s="1275"/>
      <c r="I6" s="1275"/>
      <c r="J6" s="1275"/>
    </row>
    <row r="7" spans="1:10" ht="12.7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75"/>
    <row r="10" spans="1:10" ht="12.75" customHeight="1">
      <c r="A10" s="1279" t="s">
        <v>1873</v>
      </c>
      <c r="B10" s="1279"/>
      <c r="C10" s="1279"/>
      <c r="D10" s="1279"/>
      <c r="E10" s="1279"/>
      <c r="F10" s="1279"/>
      <c r="G10" s="1279"/>
      <c r="H10" s="1279"/>
      <c r="I10" s="1279"/>
      <c r="J10" s="1279"/>
    </row>
    <row r="11" spans="1:10" ht="12.75">
      <c r="A11" s="1279"/>
      <c r="B11" s="1279"/>
      <c r="C11" s="1279"/>
      <c r="D11" s="1279"/>
      <c r="E11" s="1279"/>
      <c r="F11" s="1279"/>
      <c r="G11" s="1279"/>
      <c r="H11" s="1279"/>
      <c r="I11" s="1279"/>
      <c r="J11" s="1279"/>
    </row>
    <row r="12" spans="1:10" ht="12.75">
      <c r="A12" s="1279"/>
      <c r="B12" s="1279"/>
      <c r="C12" s="1279"/>
      <c r="D12" s="1279"/>
      <c r="E12" s="1279"/>
      <c r="F12" s="1279"/>
      <c r="G12" s="1279"/>
      <c r="H12" s="1279"/>
      <c r="I12" s="1279"/>
      <c r="J12" s="1279"/>
    </row>
    <row r="13" spans="1:10" ht="12.75">
      <c r="A13" s="1279"/>
      <c r="B13" s="1279"/>
      <c r="C13" s="1279"/>
      <c r="D13" s="1279"/>
      <c r="E13" s="1279"/>
      <c r="F13" s="1279"/>
      <c r="G13" s="1279"/>
      <c r="H13" s="1279"/>
      <c r="I13" s="1279"/>
      <c r="J13" s="1279"/>
    </row>
    <row r="14" spans="1:10" ht="12.75">
      <c r="A14" s="1279"/>
      <c r="B14" s="1279"/>
      <c r="C14" s="1279"/>
      <c r="D14" s="1279"/>
      <c r="E14" s="1279"/>
      <c r="F14" s="1279"/>
      <c r="G14" s="1279"/>
      <c r="H14" s="1279"/>
      <c r="I14" s="1279"/>
      <c r="J14" s="1279"/>
    </row>
    <row r="15" spans="1:10" ht="12.75">
      <c r="A15" s="1279"/>
      <c r="B15" s="1279"/>
      <c r="C15" s="1279"/>
      <c r="D15" s="1279"/>
      <c r="E15" s="1279"/>
      <c r="F15" s="1279"/>
      <c r="G15" s="1279"/>
      <c r="H15" s="1279"/>
      <c r="I15" s="1279"/>
      <c r="J15" s="1279"/>
    </row>
    <row r="16" spans="1:10" ht="12.75">
      <c r="A16" s="524"/>
      <c r="B16" s="524"/>
      <c r="C16" s="524"/>
      <c r="D16" s="524"/>
      <c r="E16" s="524"/>
      <c r="F16" s="524"/>
      <c r="G16" s="524"/>
      <c r="H16" s="524"/>
      <c r="I16" s="524"/>
      <c r="J16" s="524"/>
    </row>
    <row r="17" spans="1:10" ht="12.75">
      <c r="A17" s="476" t="s">
        <v>1872</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8" t="s">
        <v>1188</v>
      </c>
      <c r="B19" s="1278"/>
      <c r="C19" s="1278"/>
      <c r="D19" s="1278"/>
      <c r="E19" s="1278"/>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5" t="s">
        <v>1189</v>
      </c>
      <c r="B56" s="1275"/>
      <c r="C56" s="1275"/>
      <c r="D56" s="1275"/>
      <c r="E56" s="1275"/>
      <c r="F56" s="1275"/>
      <c r="G56" s="1275"/>
      <c r="H56" s="1275"/>
      <c r="I56" s="1275"/>
      <c r="J56" s="1275"/>
    </row>
    <row r="57" spans="1:10" ht="12.75">
      <c r="A57" s="1275"/>
      <c r="B57" s="1275"/>
      <c r="C57" s="1275"/>
      <c r="D57" s="1275"/>
      <c r="E57" s="1275"/>
      <c r="F57" s="1275"/>
      <c r="G57" s="1275"/>
      <c r="H57" s="1275"/>
      <c r="I57" s="1275"/>
      <c r="J57" s="1275"/>
    </row>
    <row r="58" spans="1:10" ht="12.75">
      <c r="A58" s="1275"/>
      <c r="B58" s="1275"/>
      <c r="C58" s="1275"/>
      <c r="D58" s="1275"/>
      <c r="E58" s="1275"/>
      <c r="F58" s="1275"/>
      <c r="G58" s="1275"/>
      <c r="H58" s="1275"/>
      <c r="I58" s="1275"/>
      <c r="J58" s="1275"/>
    </row>
    <row r="59" spans="1:10" ht="12.75"/>
    <row r="60" spans="1:10" ht="12.75">
      <c r="A60" s="402" t="s">
        <v>1188</v>
      </c>
    </row>
    <row r="61" spans="1:10" ht="12.75"/>
    <row r="62" spans="1:10" ht="12.75"/>
    <row r="63" spans="1:10" ht="12.75"/>
    <row r="64" spans="1:10" ht="12.75"/>
    <row r="65" spans="1:9" ht="12.75"/>
    <row r="66" spans="1:9" ht="12.75"/>
    <row r="67" spans="1:9" ht="12.75"/>
    <row r="68" spans="1:9" ht="12.75"/>
    <row r="69" spans="1:9" ht="12.75"/>
    <row r="70" spans="1:9" ht="12.75"/>
    <row r="71" spans="1:9" ht="12.75">
      <c r="A71" s="1276" t="s">
        <v>1869</v>
      </c>
      <c r="B71" s="1276"/>
      <c r="C71" s="1276"/>
      <c r="D71" s="1276"/>
      <c r="E71" s="1276"/>
      <c r="F71" s="1276"/>
      <c r="G71" s="1276"/>
      <c r="H71" s="1276"/>
      <c r="I71" s="1276"/>
    </row>
    <row r="72" spans="1:9" ht="12.75">
      <c r="A72" s="1268" t="s">
        <v>2044</v>
      </c>
      <c r="B72" s="1268"/>
      <c r="C72" s="1268"/>
      <c r="D72" s="1268"/>
      <c r="E72" s="1268"/>
    </row>
    <row r="73" spans="1:9" ht="12.75">
      <c r="A73" s="1268" t="s">
        <v>2045</v>
      </c>
      <c r="B73" s="1268"/>
      <c r="C73" s="1268"/>
      <c r="D73" s="1268"/>
      <c r="E73" s="1268"/>
    </row>
    <row r="74" spans="1:9" ht="12.75">
      <c r="A74" s="1268" t="s">
        <v>1870</v>
      </c>
      <c r="B74" s="1268"/>
      <c r="C74" s="1268"/>
      <c r="D74" s="1268"/>
      <c r="E74" s="1268"/>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544" workbookViewId="0">
      <selection activeCell="D556" sqref="D556:F557"/>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0" t="s">
        <v>2458</v>
      </c>
      <c r="B2" s="1330"/>
      <c r="C2" s="1330"/>
      <c r="D2" s="1330"/>
      <c r="E2" s="1330"/>
      <c r="F2" s="1330"/>
      <c r="G2" s="1330"/>
      <c r="H2" s="1330"/>
      <c r="I2" s="1330"/>
    </row>
    <row r="3" spans="1:13">
      <c r="A3" s="1318" t="s">
        <v>2218</v>
      </c>
      <c r="B3" s="1318"/>
      <c r="C3" s="1318"/>
      <c r="D3" s="1318"/>
      <c r="E3" s="1318"/>
      <c r="F3" s="1318"/>
      <c r="G3" s="1318"/>
      <c r="H3" s="1318"/>
      <c r="I3" s="1318"/>
    </row>
    <row r="4" spans="1:13">
      <c r="A4" s="1318"/>
      <c r="B4" s="1318"/>
      <c r="C4" s="1278"/>
      <c r="D4" s="1278"/>
      <c r="E4" s="1278"/>
      <c r="F4" s="1278"/>
      <c r="G4" s="1278"/>
    </row>
    <row r="5" spans="1:13">
      <c r="A5" s="1318"/>
      <c r="B5" s="1318"/>
      <c r="C5" s="1278"/>
      <c r="D5" s="1278"/>
      <c r="E5" s="1278"/>
      <c r="F5" s="1278"/>
      <c r="G5" s="1278"/>
    </row>
    <row r="6" spans="1:13" ht="12.75" customHeight="1">
      <c r="A6" s="1321" t="s">
        <v>2217</v>
      </c>
      <c r="B6" s="1321"/>
      <c r="C6" s="1321"/>
      <c r="D6" s="1321"/>
      <c r="E6" s="1321"/>
      <c r="F6" s="1321"/>
      <c r="G6" s="1321"/>
      <c r="I6" s="490"/>
    </row>
    <row r="7" spans="1:13">
      <c r="A7" s="1321"/>
      <c r="B7" s="1321"/>
      <c r="C7" s="1321"/>
      <c r="D7" s="1321"/>
      <c r="E7" s="1321"/>
      <c r="F7" s="1321"/>
      <c r="G7" s="1321"/>
      <c r="I7" s="490"/>
    </row>
    <row r="8" spans="1:13">
      <c r="A8" s="481"/>
      <c r="B8" s="481"/>
      <c r="C8" s="482"/>
      <c r="D8" s="482"/>
      <c r="E8" s="482"/>
      <c r="F8" s="482"/>
    </row>
    <row r="9" spans="1:13">
      <c r="A9" s="1307" t="s">
        <v>1100</v>
      </c>
      <c r="B9" s="1307"/>
      <c r="C9" s="1307"/>
      <c r="D9" s="1307"/>
      <c r="E9" s="1307"/>
      <c r="F9" s="1307"/>
      <c r="G9" s="1307"/>
      <c r="H9" s="1027"/>
      <c r="I9" s="1028"/>
    </row>
    <row r="10" spans="1:13">
      <c r="A10" s="482"/>
      <c r="B10" s="482"/>
      <c r="E10" s="404"/>
    </row>
    <row r="11" spans="1:13" ht="13.7" customHeight="1">
      <c r="C11" s="482"/>
      <c r="D11" s="1320" t="s">
        <v>1099</v>
      </c>
      <c r="E11" s="1320"/>
      <c r="F11" s="1320"/>
    </row>
    <row r="12" spans="1:13">
      <c r="C12" s="482"/>
      <c r="D12" s="1320"/>
      <c r="E12" s="1320"/>
      <c r="F12" s="1320"/>
    </row>
    <row r="13" spans="1:13">
      <c r="A13" s="483"/>
      <c r="B13" s="483"/>
      <c r="C13" s="483"/>
      <c r="D13" s="1298" t="s">
        <v>1089</v>
      </c>
      <c r="E13" s="1298"/>
      <c r="F13" s="1298"/>
      <c r="M13" s="96"/>
    </row>
    <row r="14" spans="1:13">
      <c r="A14" s="483"/>
      <c r="B14" s="483"/>
      <c r="C14" s="483"/>
      <c r="D14" s="476"/>
      <c r="L14" s="312"/>
    </row>
    <row r="15" spans="1:13" ht="14.25">
      <c r="A15" s="484"/>
      <c r="B15" s="485" t="s">
        <v>2614</v>
      </c>
      <c r="C15" s="483"/>
      <c r="D15" s="1300" t="s">
        <v>1921</v>
      </c>
      <c r="E15" s="1300"/>
      <c r="F15" s="1300"/>
      <c r="I15" s="490"/>
    </row>
    <row r="16" spans="1:13">
      <c r="A16" s="483"/>
      <c r="B16" s="483"/>
      <c r="C16" s="483"/>
      <c r="D16" s="1300"/>
      <c r="E16" s="1300"/>
      <c r="F16" s="1300"/>
      <c r="I16" s="490"/>
    </row>
    <row r="17" spans="1:9">
      <c r="A17" s="483"/>
      <c r="B17" s="483"/>
      <c r="C17" s="483"/>
      <c r="D17" s="1300"/>
      <c r="E17" s="1300"/>
      <c r="F17" s="1300"/>
      <c r="I17" s="490"/>
    </row>
    <row r="18" spans="1:9">
      <c r="A18" s="483"/>
      <c r="B18" s="483"/>
      <c r="C18" s="483"/>
      <c r="D18" s="445"/>
      <c r="E18" s="312" t="s">
        <v>1919</v>
      </c>
      <c r="F18" s="445"/>
      <c r="I18" s="490"/>
    </row>
    <row r="19" spans="1:9">
      <c r="A19" s="483"/>
      <c r="B19" s="483"/>
      <c r="C19" s="483"/>
      <c r="I19" s="490"/>
    </row>
    <row r="20" spans="1:9" ht="14.25">
      <c r="A20" s="484"/>
      <c r="B20" s="485" t="s">
        <v>2614</v>
      </c>
      <c r="D20" s="1300" t="s">
        <v>1922</v>
      </c>
      <c r="E20" s="1300"/>
      <c r="F20" s="1300"/>
      <c r="I20" s="490"/>
    </row>
    <row r="21" spans="1:9" ht="14.25">
      <c r="A21" s="484"/>
      <c r="D21" s="1300"/>
      <c r="E21" s="1300"/>
      <c r="F21" s="1300"/>
      <c r="I21" s="490"/>
    </row>
    <row r="22" spans="1:9" ht="14.25">
      <c r="A22" s="484"/>
      <c r="D22" s="392"/>
      <c r="E22" s="96" t="s">
        <v>1918</v>
      </c>
      <c r="F22" s="392"/>
      <c r="I22" s="490"/>
    </row>
    <row r="23" spans="1:9" ht="14.25">
      <c r="A23" s="484"/>
      <c r="B23" s="484"/>
      <c r="D23" s="446"/>
      <c r="I23" s="490"/>
    </row>
    <row r="24" spans="1:9" ht="14.25">
      <c r="A24" s="484"/>
      <c r="B24" s="485" t="s">
        <v>2615</v>
      </c>
      <c r="D24" s="1300" t="s">
        <v>1090</v>
      </c>
      <c r="E24" s="1300"/>
      <c r="F24" s="1300"/>
      <c r="I24" s="490"/>
    </row>
    <row r="25" spans="1:9" ht="14.25">
      <c r="A25" s="484"/>
      <c r="B25" s="484"/>
      <c r="D25" s="1300"/>
      <c r="E25" s="1300"/>
      <c r="F25" s="1300"/>
      <c r="I25" s="490"/>
    </row>
    <row r="26" spans="1:9">
      <c r="I26" s="490"/>
    </row>
    <row r="27" spans="1:9" ht="14.25">
      <c r="A27" s="484"/>
      <c r="B27" s="485" t="s">
        <v>2614</v>
      </c>
      <c r="D27" s="1300" t="s">
        <v>2047</v>
      </c>
      <c r="E27" s="1300"/>
      <c r="F27" s="1300"/>
      <c r="I27" s="490"/>
    </row>
    <row r="28" spans="1:9">
      <c r="D28" s="1300"/>
      <c r="E28" s="1300"/>
      <c r="F28" s="1300"/>
      <c r="I28" s="490"/>
    </row>
    <row r="29" spans="1:9">
      <c r="D29" s="1300"/>
      <c r="E29" s="1300"/>
      <c r="F29" s="1300"/>
      <c r="I29" s="490"/>
    </row>
    <row r="30" spans="1:9">
      <c r="D30" s="1300"/>
      <c r="E30" s="1300"/>
      <c r="F30" s="1300"/>
      <c r="I30" s="490"/>
    </row>
    <row r="31" spans="1:9">
      <c r="D31" s="1300"/>
      <c r="E31" s="1300"/>
      <c r="F31" s="1300"/>
      <c r="I31" s="490"/>
    </row>
    <row r="32" spans="1:9">
      <c r="D32" s="447"/>
      <c r="I32" s="490"/>
    </row>
    <row r="33" spans="1:9">
      <c r="B33" s="485" t="s">
        <v>2615</v>
      </c>
      <c r="D33" s="1300" t="s">
        <v>2048</v>
      </c>
      <c r="E33" s="1300"/>
      <c r="F33" s="1300"/>
      <c r="I33" s="490"/>
    </row>
    <row r="34" spans="1:9">
      <c r="D34" s="1300"/>
      <c r="E34" s="1300"/>
      <c r="F34" s="1300"/>
      <c r="I34" s="490"/>
    </row>
    <row r="35" spans="1:9" ht="14.25">
      <c r="A35" s="484"/>
      <c r="B35" s="484"/>
      <c r="D35" s="447"/>
      <c r="I35" s="490"/>
    </row>
    <row r="36" spans="1:9" ht="14.45" customHeight="1">
      <c r="A36" s="484"/>
      <c r="B36" s="485" t="s">
        <v>2615</v>
      </c>
      <c r="D36" s="1300" t="s">
        <v>1213</v>
      </c>
      <c r="E36" s="1300"/>
      <c r="F36" s="1300"/>
      <c r="I36" s="490"/>
    </row>
    <row r="37" spans="1:9" ht="14.25">
      <c r="A37" s="484"/>
      <c r="B37" s="484"/>
      <c r="D37" s="1300"/>
      <c r="E37" s="1300"/>
      <c r="F37" s="1300"/>
      <c r="I37" s="490"/>
    </row>
    <row r="38" spans="1:9" ht="14.25">
      <c r="A38" s="484"/>
      <c r="B38" s="484"/>
      <c r="D38" s="1300"/>
      <c r="E38" s="1300"/>
      <c r="F38" s="1300"/>
      <c r="I38" s="490"/>
    </row>
    <row r="39" spans="1:9" ht="14.25">
      <c r="A39" s="484"/>
      <c r="B39" s="484"/>
      <c r="D39" s="1300"/>
      <c r="E39" s="1300"/>
      <c r="F39" s="1300"/>
      <c r="I39" s="490"/>
    </row>
    <row r="40" spans="1:9" ht="14.25">
      <c r="A40" s="484"/>
      <c r="B40" s="484"/>
      <c r="I40" s="490"/>
    </row>
    <row r="41" spans="1:9" ht="14.25">
      <c r="A41" s="484"/>
      <c r="B41" s="485" t="s">
        <v>2615</v>
      </c>
      <c r="D41" s="1300" t="s">
        <v>1091</v>
      </c>
      <c r="E41" s="1300"/>
      <c r="F41" s="1300"/>
      <c r="I41" s="490"/>
    </row>
    <row r="42" spans="1:9" ht="14.25">
      <c r="A42" s="484"/>
      <c r="B42" s="484"/>
      <c r="D42" s="1300"/>
      <c r="E42" s="1300"/>
      <c r="F42" s="1300"/>
      <c r="I42" s="490"/>
    </row>
    <row r="43" spans="1:9" ht="14.25">
      <c r="A43" s="484"/>
      <c r="B43" s="484"/>
      <c r="D43" s="1300"/>
      <c r="E43" s="1300"/>
      <c r="F43" s="1300"/>
      <c r="I43" s="490"/>
    </row>
    <row r="44" spans="1:9" ht="14.25">
      <c r="A44" s="484"/>
      <c r="B44" s="484"/>
      <c r="D44" s="1300"/>
      <c r="E44" s="1300"/>
      <c r="F44" s="1300"/>
      <c r="I44" s="490"/>
    </row>
    <row r="45" spans="1:9" ht="14.25">
      <c r="A45" s="484"/>
      <c r="B45" s="484"/>
      <c r="D45" s="1300"/>
      <c r="E45" s="1300"/>
      <c r="F45" s="1300"/>
      <c r="I45" s="490"/>
    </row>
    <row r="46" spans="1:9" ht="14.25">
      <c r="A46" s="484"/>
      <c r="B46" s="484"/>
      <c r="D46" s="445"/>
      <c r="E46" s="445"/>
      <c r="F46" s="445"/>
      <c r="I46" s="490"/>
    </row>
    <row r="47" spans="1:9" ht="14.25">
      <c r="A47" s="484"/>
      <c r="B47" s="485" t="s">
        <v>2615</v>
      </c>
      <c r="D47" s="1300" t="s">
        <v>1092</v>
      </c>
      <c r="E47" s="1300"/>
      <c r="F47" s="1300"/>
      <c r="I47" s="490"/>
    </row>
    <row r="48" spans="1:9" ht="14.25">
      <c r="A48" s="484"/>
      <c r="B48" s="484"/>
      <c r="D48" s="1300"/>
      <c r="E48" s="1300"/>
      <c r="F48" s="1300"/>
      <c r="I48" s="490"/>
    </row>
    <row r="49" spans="1:9" ht="14.25">
      <c r="A49" s="484"/>
      <c r="B49" s="484"/>
      <c r="D49" s="1300"/>
      <c r="E49" s="1300"/>
      <c r="F49" s="1300"/>
      <c r="I49" s="490"/>
    </row>
    <row r="50" spans="1:9" ht="23.25" customHeight="1">
      <c r="A50" s="484"/>
      <c r="B50" s="484"/>
      <c r="D50" s="1300"/>
      <c r="E50" s="1300"/>
      <c r="F50" s="1300"/>
      <c r="I50" s="490"/>
    </row>
    <row r="51" spans="1:9" ht="14.25">
      <c r="A51" s="484"/>
      <c r="B51" s="484"/>
      <c r="D51" s="446"/>
      <c r="I51" s="490"/>
    </row>
    <row r="52" spans="1:9" ht="14.45" customHeight="1">
      <c r="A52" s="484"/>
      <c r="B52" s="485" t="s">
        <v>2615</v>
      </c>
      <c r="D52" s="1300" t="s">
        <v>1093</v>
      </c>
      <c r="E52" s="1300"/>
      <c r="F52" s="1300"/>
      <c r="I52" s="490"/>
    </row>
    <row r="53" spans="1:9" ht="14.25">
      <c r="A53" s="484"/>
      <c r="B53" s="484"/>
      <c r="D53" s="1300"/>
      <c r="E53" s="1300"/>
      <c r="F53" s="1300"/>
      <c r="I53" s="490"/>
    </row>
    <row r="54" spans="1:9" ht="14.25">
      <c r="A54" s="484"/>
      <c r="B54" s="484"/>
      <c r="D54" s="1300"/>
      <c r="E54" s="1300"/>
      <c r="F54" s="1300"/>
      <c r="I54" s="490"/>
    </row>
    <row r="55" spans="1:9" ht="14.25">
      <c r="A55" s="484"/>
      <c r="B55" s="484"/>
      <c r="I55" s="490"/>
    </row>
    <row r="56" spans="1:9" ht="14.25">
      <c r="A56" s="484"/>
      <c r="B56" s="485" t="s">
        <v>2614</v>
      </c>
      <c r="D56" s="1323" t="s">
        <v>1094</v>
      </c>
      <c r="E56" s="1323"/>
      <c r="F56" s="1323"/>
      <c r="I56" s="490"/>
    </row>
    <row r="57" spans="1:9" ht="14.25">
      <c r="A57" s="484"/>
      <c r="B57" s="484"/>
      <c r="D57" s="1323"/>
      <c r="E57" s="1323"/>
      <c r="F57" s="1323"/>
      <c r="I57" s="490"/>
    </row>
    <row r="58" spans="1:9" ht="14.25">
      <c r="A58" s="484"/>
      <c r="B58" s="484"/>
      <c r="D58" s="392" t="s">
        <v>1920</v>
      </c>
      <c r="E58" s="445"/>
      <c r="F58" s="445"/>
      <c r="I58" s="490"/>
    </row>
    <row r="59" spans="1:9" ht="14.25">
      <c r="A59" s="484"/>
      <c r="B59" s="484"/>
      <c r="D59" s="445"/>
      <c r="E59" s="312" t="s">
        <v>1919</v>
      </c>
      <c r="F59" s="445"/>
      <c r="I59" s="490"/>
    </row>
    <row r="60" spans="1:9">
      <c r="D60" s="447"/>
      <c r="I60" s="490"/>
    </row>
    <row r="61" spans="1:9" ht="14.25">
      <c r="A61" s="484"/>
      <c r="B61" s="485" t="s">
        <v>2615</v>
      </c>
      <c r="D61" s="1300" t="s">
        <v>1095</v>
      </c>
      <c r="E61" s="1300"/>
      <c r="F61" s="1300"/>
      <c r="I61" s="490"/>
    </row>
    <row r="62" spans="1:9">
      <c r="D62" s="1300"/>
      <c r="E62" s="1300"/>
      <c r="F62" s="1300"/>
      <c r="I62" s="490"/>
    </row>
    <row r="63" spans="1:9">
      <c r="D63" s="1300"/>
      <c r="E63" s="1300"/>
      <c r="F63" s="1300"/>
      <c r="I63" s="490"/>
    </row>
    <row r="64" spans="1:9">
      <c r="I64" s="490"/>
    </row>
    <row r="65" spans="1:9" ht="14.25">
      <c r="A65" s="484"/>
      <c r="B65" s="485" t="s">
        <v>2615</v>
      </c>
      <c r="D65" s="1300" t="s">
        <v>1096</v>
      </c>
      <c r="E65" s="1300"/>
      <c r="F65" s="1300"/>
      <c r="I65" s="490"/>
    </row>
    <row r="66" spans="1:9">
      <c r="D66" s="1300"/>
      <c r="E66" s="1300"/>
      <c r="F66" s="1300"/>
      <c r="I66" s="490"/>
    </row>
    <row r="67" spans="1:9">
      <c r="I67" s="490"/>
    </row>
    <row r="68" spans="1:9" ht="14.25">
      <c r="A68" s="484"/>
      <c r="B68" s="485" t="s">
        <v>2614</v>
      </c>
      <c r="D68" s="1300" t="s">
        <v>1097</v>
      </c>
      <c r="E68" s="1300"/>
      <c r="F68" s="1300"/>
      <c r="I68" s="490"/>
    </row>
    <row r="69" spans="1:9">
      <c r="D69" s="1300"/>
      <c r="E69" s="1300"/>
      <c r="F69" s="1300"/>
      <c r="I69" s="490"/>
    </row>
    <row r="70" spans="1:9">
      <c r="D70" s="1300"/>
      <c r="E70" s="1300"/>
      <c r="F70" s="1300"/>
      <c r="I70" s="490"/>
    </row>
    <row r="71" spans="1:9">
      <c r="I71" s="490"/>
    </row>
    <row r="72" spans="1:9" ht="14.25">
      <c r="A72" s="484"/>
      <c r="B72" s="485" t="s">
        <v>2615</v>
      </c>
      <c r="D72" s="1300" t="s">
        <v>1098</v>
      </c>
      <c r="E72" s="1300"/>
      <c r="F72" s="1300"/>
      <c r="I72" s="490"/>
    </row>
    <row r="73" spans="1:9">
      <c r="D73" s="1300"/>
      <c r="E73" s="1300"/>
      <c r="F73" s="1300"/>
      <c r="I73" s="490"/>
    </row>
    <row r="74" spans="1:9" ht="14.25">
      <c r="A74" s="484"/>
      <c r="B74" s="484"/>
      <c r="D74" s="446"/>
      <c r="I74" s="490"/>
    </row>
    <row r="75" spans="1:9">
      <c r="A75" s="1307" t="s">
        <v>1043</v>
      </c>
      <c r="B75" s="1307"/>
      <c r="C75" s="1307"/>
      <c r="D75" s="1307"/>
      <c r="E75" s="1307"/>
      <c r="F75" s="1307"/>
      <c r="G75" s="1307"/>
      <c r="H75" s="1027"/>
      <c r="I75" s="1152"/>
    </row>
    <row r="76" spans="1:9">
      <c r="I76" s="490"/>
    </row>
    <row r="77" spans="1:9">
      <c r="C77" s="486"/>
      <c r="D77" s="1316" t="s">
        <v>1101</v>
      </c>
      <c r="E77" s="1316"/>
      <c r="F77" s="1316"/>
      <c r="I77" s="490"/>
    </row>
    <row r="78" spans="1:9">
      <c r="A78" s="446"/>
      <c r="B78" s="446"/>
      <c r="D78" s="1300" t="s">
        <v>1116</v>
      </c>
      <c r="E78" s="1300"/>
      <c r="F78" s="1300"/>
      <c r="I78" s="490"/>
    </row>
    <row r="79" spans="1:9">
      <c r="A79" s="446"/>
      <c r="B79" s="446"/>
      <c r="I79" s="490"/>
    </row>
    <row r="80" spans="1:9" ht="13.7" customHeight="1">
      <c r="A80" s="484"/>
      <c r="B80" s="485" t="s">
        <v>2614</v>
      </c>
      <c r="D80" s="1300" t="s">
        <v>1244</v>
      </c>
      <c r="E80" s="1300"/>
      <c r="F80" s="1300"/>
      <c r="I80" s="490"/>
    </row>
    <row r="81" spans="1:9" ht="14.25">
      <c r="A81" s="484"/>
      <c r="B81" s="484"/>
      <c r="D81" s="1300"/>
      <c r="E81" s="1300"/>
      <c r="F81" s="1300"/>
      <c r="I81" s="490"/>
    </row>
    <row r="82" spans="1:9" ht="14.25">
      <c r="A82" s="484"/>
      <c r="B82" s="484"/>
      <c r="D82" s="1300"/>
      <c r="E82" s="1300"/>
      <c r="F82" s="1300"/>
      <c r="I82" s="490"/>
    </row>
    <row r="83" spans="1:9" ht="14.25">
      <c r="A83" s="484"/>
      <c r="B83" s="484"/>
      <c r="D83" s="1300"/>
      <c r="E83" s="1300"/>
      <c r="F83" s="1300"/>
      <c r="I83" s="490"/>
    </row>
    <row r="84" spans="1:9" ht="14.25">
      <c r="A84" s="484"/>
      <c r="B84" s="484"/>
      <c r="D84" s="1300"/>
      <c r="E84" s="1300"/>
      <c r="F84" s="1300"/>
      <c r="I84" s="490"/>
    </row>
    <row r="85" spans="1:9" ht="14.25">
      <c r="A85" s="484"/>
      <c r="B85" s="484"/>
      <c r="D85" s="1300"/>
      <c r="E85" s="1300"/>
      <c r="F85" s="1300"/>
      <c r="I85" s="490"/>
    </row>
    <row r="86" spans="1:9" ht="14.25">
      <c r="A86" s="484"/>
      <c r="B86" s="484"/>
      <c r="D86" s="1300"/>
      <c r="E86" s="1300"/>
      <c r="F86" s="1300"/>
      <c r="I86" s="490"/>
    </row>
    <row r="87" spans="1:9" ht="14.25">
      <c r="A87" s="484"/>
      <c r="B87" s="484"/>
      <c r="D87" s="1300"/>
      <c r="E87" s="1300"/>
      <c r="F87" s="1300"/>
      <c r="I87" s="490"/>
    </row>
    <row r="88" spans="1:9" ht="14.25">
      <c r="A88" s="484"/>
      <c r="B88" s="484"/>
      <c r="D88" s="385"/>
      <c r="E88" s="385"/>
      <c r="F88" s="385"/>
      <c r="I88" s="490"/>
    </row>
    <row r="89" spans="1:9" ht="15" customHeight="1">
      <c r="A89" s="484"/>
      <c r="B89" s="485" t="s">
        <v>2614</v>
      </c>
      <c r="D89" s="1300" t="s">
        <v>1741</v>
      </c>
      <c r="E89" s="1300"/>
      <c r="F89" s="1300"/>
      <c r="I89" s="490"/>
    </row>
    <row r="90" spans="1:9" ht="14.25">
      <c r="A90" s="484"/>
      <c r="B90" s="484"/>
      <c r="D90" s="1300"/>
      <c r="E90" s="1300"/>
      <c r="F90" s="1300"/>
      <c r="I90" s="490"/>
    </row>
    <row r="91" spans="1:9" ht="14.25">
      <c r="A91" s="484"/>
      <c r="B91" s="484"/>
      <c r="D91" s="445"/>
      <c r="E91" s="445"/>
      <c r="F91" s="445"/>
      <c r="I91" s="490"/>
    </row>
    <row r="92" spans="1:9" ht="14.25">
      <c r="A92" s="484"/>
      <c r="B92" s="485" t="s">
        <v>2614</v>
      </c>
      <c r="D92" s="1300" t="s">
        <v>1744</v>
      </c>
      <c r="E92" s="1300"/>
      <c r="F92" s="1300"/>
      <c r="I92" s="490"/>
    </row>
    <row r="93" spans="1:9" ht="14.25">
      <c r="A93" s="484"/>
      <c r="B93" s="484"/>
      <c r="D93" s="1300"/>
      <c r="E93" s="1300"/>
      <c r="F93" s="1300"/>
      <c r="I93" s="490"/>
    </row>
    <row r="94" spans="1:9" ht="14.25">
      <c r="A94" s="484"/>
      <c r="B94" s="484"/>
      <c r="D94" s="1300"/>
      <c r="E94" s="1300"/>
      <c r="F94" s="1300"/>
      <c r="I94" s="490"/>
    </row>
    <row r="95" spans="1:9" ht="14.25">
      <c r="A95" s="484"/>
      <c r="B95" s="484"/>
      <c r="D95" s="445"/>
      <c r="E95" s="445"/>
      <c r="F95" s="445"/>
      <c r="I95" s="490"/>
    </row>
    <row r="96" spans="1:9" ht="14.25">
      <c r="A96" s="484"/>
      <c r="B96" s="485" t="s">
        <v>2615</v>
      </c>
      <c r="D96" s="1300" t="s">
        <v>1743</v>
      </c>
      <c r="E96" s="1300"/>
      <c r="F96" s="1300"/>
      <c r="I96" s="490"/>
    </row>
    <row r="97" spans="1:9" s="986" customFormat="1" ht="14.25">
      <c r="A97" s="984"/>
      <c r="B97" s="984"/>
      <c r="C97" s="985"/>
      <c r="D97" s="1300"/>
      <c r="E97" s="1300"/>
      <c r="F97" s="1300"/>
      <c r="I97" s="1153"/>
    </row>
    <row r="98" spans="1:9" ht="14.25">
      <c r="A98" s="484"/>
      <c r="B98" s="484"/>
      <c r="D98" s="392"/>
      <c r="E98" s="312" t="s">
        <v>1923</v>
      </c>
      <c r="F98" s="445"/>
      <c r="I98" s="490"/>
    </row>
    <row r="99" spans="1:9" ht="14.25">
      <c r="A99" s="484"/>
      <c r="B99" s="484"/>
      <c r="D99" s="385"/>
      <c r="E99" s="385"/>
      <c r="F99" s="385"/>
      <c r="I99" s="490"/>
    </row>
    <row r="100" spans="1:9" ht="14.25">
      <c r="A100" s="484"/>
      <c r="B100" s="485" t="s">
        <v>2615</v>
      </c>
      <c r="D100" s="1300" t="s">
        <v>1742</v>
      </c>
      <c r="E100" s="1300"/>
      <c r="F100" s="1300"/>
      <c r="I100" s="490"/>
    </row>
    <row r="101" spans="1:9" ht="14.25">
      <c r="A101" s="484"/>
      <c r="B101" s="484"/>
      <c r="D101" s="1300"/>
      <c r="E101" s="1300"/>
      <c r="F101" s="1300"/>
      <c r="I101" s="490"/>
    </row>
    <row r="102" spans="1:9" ht="14.25">
      <c r="A102" s="484"/>
      <c r="B102" s="484"/>
      <c r="D102" s="445"/>
      <c r="E102" s="445"/>
      <c r="F102" s="445"/>
      <c r="I102" s="490"/>
    </row>
    <row r="103" spans="1:9" ht="14.45" customHeight="1">
      <c r="A103" s="484"/>
      <c r="B103" s="485" t="s">
        <v>2615</v>
      </c>
      <c r="D103" s="1300" t="s">
        <v>1193</v>
      </c>
      <c r="E103" s="1300"/>
      <c r="F103" s="1300"/>
      <c r="I103" s="490"/>
    </row>
    <row r="104" spans="1:9" ht="14.25">
      <c r="A104" s="484"/>
      <c r="B104" s="484"/>
      <c r="D104" s="1300"/>
      <c r="E104" s="1300"/>
      <c r="F104" s="1300"/>
      <c r="I104" s="490"/>
    </row>
    <row r="105" spans="1:9" ht="14.25">
      <c r="A105" s="484"/>
      <c r="B105" s="484"/>
      <c r="D105" s="1300"/>
      <c r="E105" s="1300"/>
      <c r="F105" s="1300"/>
      <c r="I105" s="490"/>
    </row>
    <row r="106" spans="1:9" ht="14.25">
      <c r="A106" s="484"/>
      <c r="B106" s="484"/>
      <c r="D106" s="1300"/>
      <c r="E106" s="1300"/>
      <c r="F106" s="1300"/>
      <c r="I106" s="490"/>
    </row>
    <row r="107" spans="1:9" ht="14.25">
      <c r="A107" s="484"/>
      <c r="B107" s="484"/>
      <c r="D107" s="1300"/>
      <c r="E107" s="1300"/>
      <c r="F107" s="1300"/>
      <c r="I107" s="490"/>
    </row>
    <row r="108" spans="1:9" ht="14.25">
      <c r="A108" s="484"/>
      <c r="B108" s="484"/>
      <c r="D108" s="1300"/>
      <c r="E108" s="1300"/>
      <c r="F108" s="1300"/>
      <c r="I108" s="490"/>
    </row>
    <row r="109" spans="1:9" ht="14.25">
      <c r="A109" s="484"/>
      <c r="B109" s="484"/>
      <c r="D109" s="1300"/>
      <c r="E109" s="1300"/>
      <c r="F109" s="1300"/>
      <c r="I109" s="490"/>
    </row>
    <row r="110" spans="1:9" ht="14.25">
      <c r="A110" s="484"/>
      <c r="B110" s="484"/>
      <c r="D110" s="1300"/>
      <c r="E110" s="1300"/>
      <c r="F110" s="1300"/>
      <c r="I110" s="490"/>
    </row>
    <row r="111" spans="1:9" ht="14.25">
      <c r="A111" s="484"/>
      <c r="B111" s="484"/>
      <c r="D111" s="1300"/>
      <c r="E111" s="1300"/>
      <c r="F111" s="1300"/>
      <c r="I111" s="490"/>
    </row>
    <row r="112" spans="1:9" ht="14.25">
      <c r="A112" s="484"/>
      <c r="B112" s="484"/>
      <c r="D112" s="1300"/>
      <c r="E112" s="1300"/>
      <c r="F112" s="1300"/>
      <c r="I112" s="490"/>
    </row>
    <row r="113" spans="1:9" ht="14.25">
      <c r="A113" s="484"/>
      <c r="B113" s="484"/>
      <c r="D113" s="1300"/>
      <c r="E113" s="1300"/>
      <c r="F113" s="1300"/>
      <c r="I113" s="490"/>
    </row>
    <row r="114" spans="1:9" ht="14.25">
      <c r="A114" s="484"/>
      <c r="B114" s="484"/>
      <c r="D114" s="1300"/>
      <c r="E114" s="1300"/>
      <c r="F114" s="1300"/>
      <c r="I114" s="490"/>
    </row>
    <row r="115" spans="1:9" ht="14.25">
      <c r="A115" s="484"/>
      <c r="B115" s="484"/>
      <c r="D115" s="1300"/>
      <c r="E115" s="1300"/>
      <c r="F115" s="1300"/>
      <c r="I115" s="490"/>
    </row>
    <row r="116" spans="1:9" ht="14.25">
      <c r="A116" s="484"/>
      <c r="B116" s="484"/>
      <c r="D116" s="1300"/>
      <c r="E116" s="1300"/>
      <c r="F116" s="1300"/>
      <c r="I116" s="490"/>
    </row>
    <row r="117" spans="1:9" ht="14.25">
      <c r="A117" s="484"/>
      <c r="B117" s="484"/>
      <c r="D117" s="1300"/>
      <c r="E117" s="1300"/>
      <c r="F117" s="1300"/>
      <c r="I117" s="490"/>
    </row>
    <row r="118" spans="1:9" ht="14.25">
      <c r="A118" s="484"/>
      <c r="B118" s="484"/>
      <c r="D118" s="524"/>
      <c r="E118" s="524"/>
      <c r="F118" s="524"/>
      <c r="I118" s="490"/>
    </row>
    <row r="119" spans="1:9" ht="14.25" customHeight="1">
      <c r="A119" s="484"/>
      <c r="B119" s="485" t="s">
        <v>2615</v>
      </c>
      <c r="D119" s="1322" t="s">
        <v>1102</v>
      </c>
      <c r="E119" s="1322"/>
      <c r="F119" s="1322"/>
      <c r="I119" s="490"/>
    </row>
    <row r="120" spans="1:9" ht="14.25">
      <c r="A120" s="484"/>
      <c r="B120" s="484"/>
      <c r="D120" s="1322"/>
      <c r="E120" s="1322"/>
      <c r="F120" s="1322"/>
      <c r="I120" s="490"/>
    </row>
    <row r="121" spans="1:9" ht="14.25">
      <c r="A121" s="484"/>
      <c r="B121" s="484"/>
      <c r="D121" s="1322"/>
      <c r="E121" s="1322"/>
      <c r="F121" s="1322"/>
      <c r="I121" s="490"/>
    </row>
    <row r="122" spans="1:9" ht="14.25">
      <c r="A122" s="484"/>
      <c r="B122" s="484"/>
      <c r="D122" s="1322"/>
      <c r="E122" s="1322"/>
      <c r="F122" s="1322"/>
      <c r="I122" s="490"/>
    </row>
    <row r="123" spans="1:9" ht="14.25">
      <c r="A123" s="484"/>
      <c r="B123" s="484"/>
      <c r="D123" s="1322"/>
      <c r="E123" s="1322"/>
      <c r="F123" s="1322"/>
      <c r="I123" s="490"/>
    </row>
    <row r="124" spans="1:9" ht="14.25">
      <c r="A124" s="484"/>
      <c r="B124" s="484"/>
      <c r="D124" s="1322"/>
      <c r="E124" s="1322"/>
      <c r="F124" s="1322"/>
      <c r="I124" s="490"/>
    </row>
    <row r="125" spans="1:9" ht="14.25">
      <c r="A125" s="484"/>
      <c r="B125" s="484"/>
      <c r="D125" s="1322"/>
      <c r="E125" s="1322"/>
      <c r="F125" s="1322"/>
      <c r="I125" s="490"/>
    </row>
    <row r="126" spans="1:9" ht="14.25">
      <c r="A126" s="484"/>
      <c r="B126" s="484"/>
      <c r="D126" s="1322"/>
      <c r="E126" s="1322"/>
      <c r="F126" s="1322"/>
      <c r="I126" s="490"/>
    </row>
    <row r="127" spans="1:9">
      <c r="C127" s="402"/>
      <c r="D127" s="525"/>
      <c r="E127" s="525"/>
      <c r="F127" s="525"/>
      <c r="I127" s="490"/>
    </row>
    <row r="128" spans="1:9" ht="14.25">
      <c r="A128" s="484"/>
      <c r="B128" s="485" t="s">
        <v>2614</v>
      </c>
      <c r="C128" s="402"/>
      <c r="D128" s="1322" t="s">
        <v>2049</v>
      </c>
      <c r="E128" s="1322"/>
      <c r="F128" s="1322"/>
      <c r="I128" s="490"/>
    </row>
    <row r="129" spans="1:9" ht="14.25">
      <c r="A129" s="484"/>
      <c r="B129" s="484"/>
      <c r="C129" s="402"/>
      <c r="D129" s="1322"/>
      <c r="E129" s="1322"/>
      <c r="F129" s="1322"/>
      <c r="I129" s="490"/>
    </row>
    <row r="130" spans="1:9">
      <c r="I130" s="490"/>
    </row>
    <row r="131" spans="1:9" ht="14.25">
      <c r="A131" s="484"/>
      <c r="B131" s="485" t="s">
        <v>2615</v>
      </c>
      <c r="D131" s="1300" t="s">
        <v>1103</v>
      </c>
      <c r="E131" s="1300"/>
      <c r="F131" s="1300"/>
      <c r="I131" s="490"/>
    </row>
    <row r="132" spans="1:9">
      <c r="D132" s="1300"/>
      <c r="E132" s="1300"/>
      <c r="F132" s="1300"/>
      <c r="I132" s="490"/>
    </row>
    <row r="133" spans="1:9">
      <c r="D133" s="1300"/>
      <c r="E133" s="1300"/>
      <c r="F133" s="1300"/>
      <c r="I133" s="490"/>
    </row>
    <row r="134" spans="1:9">
      <c r="D134" s="1300"/>
      <c r="E134" s="1300"/>
      <c r="F134" s="1300"/>
      <c r="I134" s="490"/>
    </row>
    <row r="135" spans="1:9">
      <c r="D135" s="1300"/>
      <c r="E135" s="1300"/>
      <c r="F135" s="1300"/>
      <c r="I135" s="490"/>
    </row>
    <row r="136" spans="1:9">
      <c r="I136" s="490"/>
    </row>
    <row r="137" spans="1:9" ht="14.25">
      <c r="A137" s="484"/>
      <c r="B137" s="485" t="s">
        <v>2614</v>
      </c>
      <c r="D137" s="1300" t="s">
        <v>1104</v>
      </c>
      <c r="E137" s="1300"/>
      <c r="F137" s="1300"/>
      <c r="I137" s="490"/>
    </row>
    <row r="138" spans="1:9" s="417" customFormat="1" ht="13.7" customHeight="1">
      <c r="A138" s="488"/>
      <c r="B138" s="488"/>
      <c r="C138" s="488"/>
      <c r="D138" s="1300"/>
      <c r="E138" s="1300"/>
      <c r="F138" s="1300"/>
      <c r="I138" s="1154"/>
    </row>
    <row r="139" spans="1:9" ht="13.7" customHeight="1">
      <c r="D139" s="1300"/>
      <c r="E139" s="1300"/>
      <c r="F139" s="1300"/>
      <c r="I139" s="490"/>
    </row>
    <row r="140" spans="1:9" ht="13.7" customHeight="1">
      <c r="D140" s="1300"/>
      <c r="E140" s="1300"/>
      <c r="F140" s="1300"/>
      <c r="I140" s="490"/>
    </row>
    <row r="141" spans="1:9" ht="13.7" customHeight="1">
      <c r="D141" s="1300"/>
      <c r="E141" s="1300"/>
      <c r="F141" s="1300"/>
      <c r="I141" s="490"/>
    </row>
    <row r="142" spans="1:9" ht="13.7" customHeight="1">
      <c r="A142" s="489"/>
      <c r="B142" s="489"/>
      <c r="D142" s="1300"/>
      <c r="E142" s="1300"/>
      <c r="F142" s="1300"/>
      <c r="I142" s="490"/>
    </row>
    <row r="143" spans="1:9" ht="13.7" customHeight="1">
      <c r="D143" s="1300"/>
      <c r="E143" s="1300"/>
      <c r="F143" s="1300"/>
      <c r="I143" s="490"/>
    </row>
    <row r="144" spans="1:9" ht="13.7" customHeight="1">
      <c r="D144" s="1300"/>
      <c r="E144" s="1300"/>
      <c r="F144" s="1300"/>
      <c r="I144" s="490"/>
    </row>
    <row r="145" spans="2:9" ht="13.7" customHeight="1">
      <c r="D145" s="1300"/>
      <c r="E145" s="1300"/>
      <c r="F145" s="1300"/>
      <c r="I145" s="490"/>
    </row>
    <row r="146" spans="2:9" ht="13.7" customHeight="1">
      <c r="D146" s="1300"/>
      <c r="E146" s="1300"/>
      <c r="F146" s="1300"/>
      <c r="I146" s="490"/>
    </row>
    <row r="147" spans="2:9" ht="13.7" customHeight="1">
      <c r="D147" s="1300"/>
      <c r="E147" s="1300"/>
      <c r="F147" s="1300"/>
      <c r="I147" s="490"/>
    </row>
    <row r="148" spans="2:9" ht="13.7" customHeight="1">
      <c r="D148" s="1300"/>
      <c r="E148" s="1300"/>
      <c r="F148" s="1300"/>
      <c r="I148" s="490"/>
    </row>
    <row r="149" spans="2:9" ht="13.7" customHeight="1">
      <c r="D149" s="1300"/>
      <c r="E149" s="1300"/>
      <c r="F149" s="1300"/>
      <c r="I149" s="490"/>
    </row>
    <row r="150" spans="2:9" ht="13.7" customHeight="1">
      <c r="D150" s="476"/>
      <c r="E150" s="446"/>
      <c r="F150" s="446"/>
      <c r="I150" s="490"/>
    </row>
    <row r="151" spans="2:9" ht="13.7" customHeight="1">
      <c r="B151" s="485" t="s">
        <v>2615</v>
      </c>
      <c r="D151" s="1300" t="s">
        <v>1176</v>
      </c>
      <c r="E151" s="1300"/>
      <c r="F151" s="1300"/>
      <c r="I151" s="490"/>
    </row>
    <row r="152" spans="2:9" ht="13.7" customHeight="1">
      <c r="D152" s="1300"/>
      <c r="E152" s="1300"/>
      <c r="F152" s="1300"/>
      <c r="I152" s="490"/>
    </row>
    <row r="153" spans="2:9" ht="13.7" customHeight="1">
      <c r="D153" s="1300"/>
      <c r="E153" s="1300"/>
      <c r="F153" s="1300"/>
      <c r="I153" s="490"/>
    </row>
    <row r="154" spans="2:9" ht="13.7" customHeight="1">
      <c r="D154" s="1300"/>
      <c r="E154" s="1300"/>
      <c r="F154" s="1300"/>
      <c r="I154" s="490"/>
    </row>
    <row r="155" spans="2:9" ht="13.7" customHeight="1">
      <c r="D155" s="1300"/>
      <c r="E155" s="1300"/>
      <c r="F155" s="1300"/>
      <c r="I155" s="490"/>
    </row>
    <row r="156" spans="2:9" ht="13.7" customHeight="1">
      <c r="D156" s="1300"/>
      <c r="E156" s="1300"/>
      <c r="F156" s="1300"/>
      <c r="I156" s="490"/>
    </row>
    <row r="157" spans="2:9" ht="13.7" customHeight="1">
      <c r="D157" s="1300"/>
      <c r="E157" s="1300"/>
      <c r="F157" s="1300"/>
      <c r="I157" s="490"/>
    </row>
    <row r="158" spans="2:9" ht="13.7" customHeight="1">
      <c r="D158" s="1300"/>
      <c r="E158" s="1300"/>
      <c r="F158" s="1300"/>
      <c r="I158" s="490"/>
    </row>
    <row r="159" spans="2:9" ht="13.7" customHeight="1">
      <c r="D159" s="1300"/>
      <c r="E159" s="1300"/>
      <c r="F159" s="1300"/>
      <c r="I159" s="490"/>
    </row>
    <row r="160" spans="2:9" ht="13.7" customHeight="1">
      <c r="D160" s="1300"/>
      <c r="E160" s="1300"/>
      <c r="F160" s="1300"/>
      <c r="I160" s="490"/>
    </row>
    <row r="161" spans="1:9" ht="13.7" customHeight="1">
      <c r="D161" s="1300"/>
      <c r="E161" s="1300"/>
      <c r="F161" s="1300"/>
      <c r="I161" s="490"/>
    </row>
    <row r="162" spans="1:9" ht="13.7" customHeight="1">
      <c r="D162" s="1300"/>
      <c r="E162" s="1300"/>
      <c r="F162" s="1300"/>
      <c r="I162" s="490"/>
    </row>
    <row r="163" spans="1:9" ht="13.7" customHeight="1">
      <c r="D163" s="1300"/>
      <c r="E163" s="1300"/>
      <c r="F163" s="1300"/>
      <c r="I163" s="490"/>
    </row>
    <row r="164" spans="1:9" ht="13.7" customHeight="1">
      <c r="D164" s="1300"/>
      <c r="E164" s="1300"/>
      <c r="F164" s="1300"/>
      <c r="I164" s="490"/>
    </row>
    <row r="165" spans="1:9" ht="13.7" customHeight="1">
      <c r="D165" s="1300"/>
      <c r="E165" s="1300"/>
      <c r="F165" s="1300"/>
      <c r="I165" s="490"/>
    </row>
    <row r="166" spans="1:9" ht="13.7" customHeight="1">
      <c r="D166" s="1300"/>
      <c r="E166" s="1300"/>
      <c r="F166" s="1300"/>
      <c r="I166" s="490"/>
    </row>
    <row r="167" spans="1:9" ht="13.7" customHeight="1">
      <c r="D167" s="1300"/>
      <c r="E167" s="1300"/>
      <c r="F167" s="1300"/>
      <c r="I167" s="490"/>
    </row>
    <row r="168" spans="1:9" ht="13.7" customHeight="1">
      <c r="D168" s="1300"/>
      <c r="E168" s="1300"/>
      <c r="F168" s="1300"/>
      <c r="I168" s="490"/>
    </row>
    <row r="169" spans="1:9" ht="13.7" customHeight="1">
      <c r="D169" s="1319" t="s">
        <v>2072</v>
      </c>
      <c r="E169" s="1319"/>
      <c r="F169" s="1319"/>
      <c r="G169" s="507"/>
      <c r="I169" s="490"/>
    </row>
    <row r="170" spans="1:9" ht="13.7" customHeight="1">
      <c r="D170" s="1317"/>
      <c r="E170" s="1317"/>
      <c r="F170" s="1317"/>
      <c r="G170" s="1317"/>
      <c r="I170" s="490"/>
    </row>
    <row r="171" spans="1:9" ht="14.45" customHeight="1">
      <c r="A171" s="489"/>
      <c r="B171" s="485" t="s">
        <v>2615</v>
      </c>
      <c r="C171" s="476"/>
      <c r="D171" s="1271" t="s">
        <v>2212</v>
      </c>
      <c r="E171" s="1271"/>
      <c r="F171" s="1271"/>
      <c r="G171" s="476"/>
      <c r="I171" s="490"/>
    </row>
    <row r="172" spans="1:9" ht="14.45" customHeight="1">
      <c r="A172" s="489"/>
      <c r="B172" s="489"/>
      <c r="C172" s="476"/>
      <c r="D172" s="1271"/>
      <c r="E172" s="1271"/>
      <c r="F172" s="1271"/>
      <c r="G172" s="476"/>
      <c r="I172" s="490"/>
    </row>
    <row r="173" spans="1:9" ht="14.45" customHeight="1">
      <c r="A173" s="489"/>
      <c r="B173" s="489"/>
      <c r="C173" s="476"/>
      <c r="D173" s="1271"/>
      <c r="E173" s="1271"/>
      <c r="F173" s="1271"/>
      <c r="G173" s="476"/>
      <c r="I173" s="490"/>
    </row>
    <row r="174" spans="1:9" ht="14.45" customHeight="1">
      <c r="A174" s="489"/>
      <c r="B174" s="489"/>
      <c r="C174" s="476"/>
      <c r="D174" s="1271"/>
      <c r="E174" s="1271"/>
      <c r="F174" s="1271"/>
      <c r="G174" s="476"/>
      <c r="I174" s="490"/>
    </row>
    <row r="175" spans="1:9" ht="13.7" customHeight="1">
      <c r="A175" s="489"/>
      <c r="B175" s="489"/>
      <c r="C175" s="476"/>
      <c r="D175" s="1271"/>
      <c r="E175" s="1271"/>
      <c r="F175" s="1271"/>
      <c r="G175" s="476"/>
      <c r="I175" s="490"/>
    </row>
    <row r="176" spans="1:9" ht="13.7" customHeight="1">
      <c r="A176" s="489"/>
      <c r="B176" s="489"/>
      <c r="C176" s="476"/>
      <c r="D176" s="476"/>
      <c r="E176" s="476"/>
      <c r="F176" s="476"/>
      <c r="G176" s="476"/>
      <c r="I176" s="490"/>
    </row>
    <row r="177" spans="1:9" ht="13.7" customHeight="1">
      <c r="A177" s="489"/>
      <c r="B177" s="485" t="s">
        <v>2615</v>
      </c>
      <c r="C177" s="476"/>
      <c r="D177" s="1271" t="s">
        <v>1105</v>
      </c>
      <c r="E177" s="1271"/>
      <c r="F177" s="1271"/>
      <c r="G177" s="476"/>
      <c r="I177" s="490"/>
    </row>
    <row r="178" spans="1:9" ht="13.7" customHeight="1">
      <c r="A178" s="489"/>
      <c r="B178" s="489"/>
      <c r="C178" s="476"/>
      <c r="D178" s="1271"/>
      <c r="E178" s="1271"/>
      <c r="F178" s="1271"/>
      <c r="G178" s="476"/>
      <c r="I178" s="490"/>
    </row>
    <row r="179" spans="1:9" ht="13.7" customHeight="1">
      <c r="A179" s="489"/>
      <c r="B179" s="489"/>
      <c r="C179" s="476"/>
      <c r="D179" s="1271"/>
      <c r="E179" s="1271"/>
      <c r="F179" s="1271"/>
      <c r="G179" s="476"/>
      <c r="I179" s="490"/>
    </row>
    <row r="180" spans="1:9" ht="13.7" customHeight="1">
      <c r="A180" s="489"/>
      <c r="B180" s="489"/>
      <c r="C180" s="476"/>
      <c r="D180" s="1271"/>
      <c r="E180" s="1271"/>
      <c r="F180" s="1271"/>
      <c r="G180" s="476"/>
      <c r="I180" s="490"/>
    </row>
    <row r="181" spans="1:9" ht="13.7" customHeight="1">
      <c r="D181" s="446"/>
      <c r="E181" s="446"/>
      <c r="F181" s="446"/>
      <c r="I181" s="490"/>
    </row>
    <row r="182" spans="1:9" ht="13.7" customHeight="1">
      <c r="B182" s="485" t="s">
        <v>2615</v>
      </c>
      <c r="D182" s="1312" t="s">
        <v>2050</v>
      </c>
      <c r="E182" s="1312"/>
      <c r="F182" s="1312"/>
      <c r="I182" s="490"/>
    </row>
    <row r="183" spans="1:9" ht="13.7" customHeight="1">
      <c r="D183" s="1312"/>
      <c r="E183" s="1312"/>
      <c r="F183" s="1312"/>
      <c r="I183" s="490"/>
    </row>
    <row r="184" spans="1:9" ht="13.7" customHeight="1">
      <c r="D184" s="1312"/>
      <c r="E184" s="1312"/>
      <c r="F184" s="1312"/>
      <c r="I184" s="490"/>
    </row>
    <row r="185" spans="1:9" ht="13.7" customHeight="1">
      <c r="A185" s="490"/>
      <c r="B185" s="490"/>
      <c r="E185" s="446"/>
      <c r="F185" s="446"/>
      <c r="I185" s="490"/>
    </row>
    <row r="186" spans="1:9">
      <c r="A186" s="1307" t="s">
        <v>2051</v>
      </c>
      <c r="B186" s="1307"/>
      <c r="C186" s="1307"/>
      <c r="D186" s="1307"/>
      <c r="E186" s="1307"/>
      <c r="F186" s="1307"/>
      <c r="G186" s="1307"/>
      <c r="H186" s="1027"/>
      <c r="I186" s="1152"/>
    </row>
    <row r="187" spans="1:9" ht="12" customHeight="1">
      <c r="D187" s="446"/>
      <c r="E187" s="446"/>
      <c r="F187" s="446"/>
      <c r="I187" s="490"/>
    </row>
    <row r="188" spans="1:9">
      <c r="B188" s="1302" t="s">
        <v>446</v>
      </c>
      <c r="C188" s="1302"/>
      <c r="D188" s="1302"/>
      <c r="E188" s="1302"/>
      <c r="F188" s="1302"/>
      <c r="I188" s="490"/>
    </row>
    <row r="189" spans="1:9">
      <c r="B189" s="392" t="s">
        <v>1874</v>
      </c>
      <c r="C189" s="392"/>
      <c r="D189" s="392"/>
      <c r="E189" s="392"/>
      <c r="F189" s="392"/>
      <c r="I189" s="490"/>
    </row>
    <row r="190" spans="1:9" ht="12" customHeight="1">
      <c r="A190" s="482"/>
      <c r="B190" s="482"/>
      <c r="C190" s="482"/>
      <c r="I190" s="490"/>
    </row>
    <row r="191" spans="1:9">
      <c r="A191" s="1307" t="s">
        <v>1044</v>
      </c>
      <c r="B191" s="1307"/>
      <c r="C191" s="1307"/>
      <c r="D191" s="1307"/>
      <c r="E191" s="1307"/>
      <c r="F191" s="1307"/>
      <c r="G191" s="1307"/>
      <c r="H191" s="1027"/>
      <c r="I191" s="1152"/>
    </row>
    <row r="192" spans="1:9" ht="12" customHeight="1">
      <c r="A192" s="404"/>
      <c r="B192" s="404"/>
      <c r="E192" s="404"/>
      <c r="I192" s="490"/>
    </row>
    <row r="193" spans="1:9" ht="13.7" customHeight="1">
      <c r="A193" s="404"/>
      <c r="B193" s="404"/>
      <c r="D193" s="1316" t="s">
        <v>1745</v>
      </c>
      <c r="E193" s="1316"/>
      <c r="F193" s="1316"/>
      <c r="I193" s="490"/>
    </row>
    <row r="194" spans="1:9">
      <c r="A194" s="404"/>
      <c r="B194" s="404"/>
      <c r="D194" s="1316"/>
      <c r="E194" s="1316"/>
      <c r="F194" s="1316"/>
      <c r="I194" s="490"/>
    </row>
    <row r="195" spans="1:9">
      <c r="A195" s="404"/>
      <c r="B195" s="404"/>
      <c r="D195" s="1302" t="s">
        <v>1194</v>
      </c>
      <c r="E195" s="1302"/>
      <c r="F195" s="1302"/>
      <c r="I195" s="490"/>
    </row>
    <row r="196" spans="1:9">
      <c r="A196" s="404"/>
      <c r="B196" s="404"/>
      <c r="D196" s="392"/>
      <c r="E196" s="392"/>
      <c r="F196" s="392"/>
      <c r="I196" s="490"/>
    </row>
    <row r="197" spans="1:9">
      <c r="A197" s="404"/>
      <c r="B197" s="485" t="s">
        <v>2615</v>
      </c>
      <c r="D197" s="1287" t="s">
        <v>1746</v>
      </c>
      <c r="E197" s="1287"/>
      <c r="F197" s="1287"/>
      <c r="I197" s="490"/>
    </row>
    <row r="198" spans="1:9">
      <c r="A198" s="404"/>
      <c r="B198" s="404"/>
      <c r="D198" s="1286" t="s">
        <v>1901</v>
      </c>
      <c r="E198" s="1286"/>
      <c r="F198" s="1286"/>
      <c r="I198" s="490"/>
    </row>
    <row r="199" spans="1:9">
      <c r="A199" s="404"/>
      <c r="B199" s="404"/>
      <c r="D199" s="96" t="s">
        <v>1747</v>
      </c>
      <c r="E199" s="1324" t="s">
        <v>1924</v>
      </c>
      <c r="F199" s="1324"/>
      <c r="I199" s="490"/>
    </row>
    <row r="200" spans="1:9">
      <c r="A200" s="404"/>
      <c r="B200" s="404"/>
      <c r="D200" s="3"/>
      <c r="E200" s="3"/>
      <c r="F200" s="3"/>
      <c r="I200" s="490"/>
    </row>
    <row r="201" spans="1:9">
      <c r="A201" s="404"/>
      <c r="B201" s="485" t="s">
        <v>2615</v>
      </c>
      <c r="D201" s="1286" t="s">
        <v>1748</v>
      </c>
      <c r="E201" s="1286"/>
      <c r="F201" s="1286"/>
      <c r="I201" s="490"/>
    </row>
    <row r="202" spans="1:9">
      <c r="A202" s="404"/>
      <c r="B202" s="404"/>
      <c r="D202" s="1287" t="s">
        <v>1901</v>
      </c>
      <c r="E202" s="1287"/>
      <c r="F202" s="1287"/>
      <c r="I202" s="490"/>
    </row>
    <row r="203" spans="1:9">
      <c r="A203" s="404"/>
      <c r="B203" s="404"/>
      <c r="D203" s="57" t="s">
        <v>1749</v>
      </c>
      <c r="E203" s="1324" t="s">
        <v>1925</v>
      </c>
      <c r="F203" s="1324"/>
      <c r="I203" s="490"/>
    </row>
    <row r="204" spans="1:9">
      <c r="A204" s="404"/>
      <c r="B204" s="404"/>
      <c r="D204" s="3"/>
      <c r="E204" s="3"/>
      <c r="F204" s="3"/>
      <c r="I204" s="490"/>
    </row>
    <row r="205" spans="1:9">
      <c r="A205" s="404"/>
      <c r="B205" s="485" t="s">
        <v>2615</v>
      </c>
      <c r="D205" s="1286" t="s">
        <v>1750</v>
      </c>
      <c r="E205" s="1286"/>
      <c r="F205" s="1286"/>
      <c r="I205" s="490"/>
    </row>
    <row r="206" spans="1:9">
      <c r="A206" s="404"/>
      <c r="B206" s="404"/>
      <c r="D206" s="1287" t="s">
        <v>1901</v>
      </c>
      <c r="E206" s="1287"/>
      <c r="F206" s="1287"/>
      <c r="I206" s="490"/>
    </row>
    <row r="207" spans="1:9">
      <c r="A207" s="404"/>
      <c r="B207" s="404"/>
      <c r="D207" s="57" t="s">
        <v>1747</v>
      </c>
      <c r="E207" s="1324" t="s">
        <v>1926</v>
      </c>
      <c r="F207" s="1324"/>
      <c r="I207" s="490"/>
    </row>
    <row r="208" spans="1:9">
      <c r="A208" s="404"/>
      <c r="B208" s="404"/>
      <c r="D208" s="392"/>
      <c r="E208" s="392"/>
      <c r="F208" s="392"/>
      <c r="I208" s="490"/>
    </row>
    <row r="209" spans="1:9" ht="14.25" customHeight="1">
      <c r="A209" s="484"/>
      <c r="B209" s="485" t="s">
        <v>2615</v>
      </c>
      <c r="D209" s="386" t="s">
        <v>1894</v>
      </c>
      <c r="E209" s="385"/>
      <c r="F209" s="385"/>
      <c r="I209" s="490"/>
    </row>
    <row r="210" spans="1:9" ht="14.25">
      <c r="A210" s="484"/>
      <c r="B210" s="484"/>
      <c r="D210" s="1287" t="s">
        <v>1901</v>
      </c>
      <c r="E210" s="1287"/>
      <c r="F210" s="1287"/>
      <c r="I210" s="490"/>
    </row>
    <row r="211" spans="1:9">
      <c r="D211" s="385"/>
      <c r="E211" s="1324" t="s">
        <v>1927</v>
      </c>
      <c r="F211" s="1324"/>
      <c r="I211" s="490"/>
    </row>
    <row r="212" spans="1:9">
      <c r="D212" s="447"/>
      <c r="I212" s="490"/>
    </row>
    <row r="213" spans="1:9">
      <c r="B213" s="485" t="s">
        <v>2615</v>
      </c>
      <c r="D213" s="1286" t="s">
        <v>1751</v>
      </c>
      <c r="E213" s="1286"/>
      <c r="F213" s="1286"/>
      <c r="I213" s="490"/>
    </row>
    <row r="214" spans="1:9">
      <c r="D214" s="1287" t="s">
        <v>1901</v>
      </c>
      <c r="E214" s="1287"/>
      <c r="F214" s="1287"/>
      <c r="I214" s="490"/>
    </row>
    <row r="215" spans="1:9">
      <c r="D215" s="57" t="s">
        <v>1747</v>
      </c>
      <c r="E215" s="1324" t="s">
        <v>1928</v>
      </c>
      <c r="F215" s="1324"/>
      <c r="I215" s="490"/>
    </row>
    <row r="216" spans="1:9">
      <c r="D216" s="451"/>
      <c r="E216" s="451"/>
      <c r="F216" s="451"/>
      <c r="I216" s="490"/>
    </row>
    <row r="217" spans="1:9" ht="14.25">
      <c r="A217" s="484"/>
      <c r="B217" s="485" t="s">
        <v>2615</v>
      </c>
      <c r="D217" s="1300" t="s">
        <v>1215</v>
      </c>
      <c r="E217" s="1300"/>
      <c r="F217" s="1300"/>
      <c r="I217" s="490"/>
    </row>
    <row r="218" spans="1:9" ht="14.45" customHeight="1">
      <c r="A218" s="484"/>
      <c r="B218" s="402"/>
      <c r="D218" s="1300"/>
      <c r="E218" s="1300"/>
      <c r="F218" s="1300"/>
      <c r="I218" s="490"/>
    </row>
    <row r="219" spans="1:9" ht="14.25">
      <c r="A219" s="484"/>
      <c r="D219" s="1300"/>
      <c r="E219" s="1300"/>
      <c r="F219" s="1300"/>
      <c r="I219" s="490"/>
    </row>
    <row r="220" spans="1:9" ht="14.25">
      <c r="A220" s="484"/>
      <c r="D220" s="1300"/>
      <c r="E220" s="1300"/>
      <c r="F220" s="1300"/>
      <c r="I220" s="490"/>
    </row>
    <row r="221" spans="1:9">
      <c r="D221" s="451"/>
      <c r="E221" s="451"/>
      <c r="F221" s="451"/>
      <c r="I221" s="490"/>
    </row>
    <row r="222" spans="1:9">
      <c r="A222" s="1307" t="s">
        <v>1045</v>
      </c>
      <c r="B222" s="1307"/>
      <c r="C222" s="1307"/>
      <c r="D222" s="1307"/>
      <c r="E222" s="1307"/>
      <c r="F222" s="1307"/>
      <c r="G222" s="1307"/>
      <c r="H222" s="1027"/>
      <c r="I222" s="1152"/>
    </row>
    <row r="223" spans="1:9" ht="12" customHeight="1">
      <c r="D223" s="446"/>
      <c r="E223" s="446"/>
      <c r="F223" s="446"/>
      <c r="I223" s="490"/>
    </row>
    <row r="224" spans="1:9">
      <c r="C224" s="486"/>
      <c r="D224" s="1308" t="s">
        <v>208</v>
      </c>
      <c r="E224" s="1308"/>
      <c r="F224" s="1308"/>
      <c r="I224" s="490"/>
    </row>
    <row r="225" spans="1:9">
      <c r="A225" s="482"/>
      <c r="B225" s="482"/>
      <c r="C225" s="482"/>
      <c r="D225" s="1298" t="s">
        <v>1119</v>
      </c>
      <c r="E225" s="1298"/>
      <c r="F225" s="1298"/>
      <c r="I225" s="490"/>
    </row>
    <row r="226" spans="1:9" ht="12" customHeight="1">
      <c r="A226" s="490"/>
      <c r="B226" s="490"/>
      <c r="C226" s="490"/>
      <c r="I226" s="490"/>
    </row>
    <row r="227" spans="1:9" ht="13.7" customHeight="1">
      <c r="A227" s="490"/>
      <c r="C227" s="490"/>
      <c r="D227" s="1308" t="s">
        <v>546</v>
      </c>
      <c r="E227" s="1308"/>
      <c r="F227" s="1308"/>
      <c r="I227" s="490"/>
    </row>
    <row r="228" spans="1:9" ht="14.25">
      <c r="A228" s="484"/>
      <c r="B228" s="485" t="s">
        <v>2614</v>
      </c>
      <c r="D228" s="1300" t="s">
        <v>1752</v>
      </c>
      <c r="E228" s="1300"/>
      <c r="F228" s="1300"/>
      <c r="I228" s="490"/>
    </row>
    <row r="229" spans="1:9" ht="14.25" customHeight="1">
      <c r="A229" s="484"/>
      <c r="B229" s="484"/>
      <c r="D229" s="1300"/>
      <c r="E229" s="1300"/>
      <c r="F229" s="1300"/>
      <c r="I229" s="490"/>
    </row>
    <row r="230" spans="1:9" ht="14.25" customHeight="1">
      <c r="A230" s="484"/>
      <c r="B230" s="484"/>
      <c r="D230" s="1300"/>
      <c r="E230" s="1300"/>
      <c r="F230" s="1300"/>
      <c r="I230" s="490"/>
    </row>
    <row r="231" spans="1:9" ht="14.25">
      <c r="A231" s="484"/>
      <c r="B231" s="484"/>
      <c r="D231" s="1300"/>
      <c r="E231" s="1300"/>
      <c r="F231" s="1300"/>
      <c r="I231" s="490"/>
    </row>
    <row r="232" spans="1:9" ht="14.25">
      <c r="A232" s="484"/>
      <c r="B232" s="484"/>
      <c r="D232" s="445"/>
      <c r="E232" s="445"/>
      <c r="F232" s="445"/>
      <c r="I232" s="490"/>
    </row>
    <row r="233" spans="1:9" ht="14.25">
      <c r="A233" s="484"/>
      <c r="B233" s="485" t="s">
        <v>2614</v>
      </c>
      <c r="D233" s="1300" t="s">
        <v>1753</v>
      </c>
      <c r="E233" s="1300"/>
      <c r="F233" s="1300"/>
      <c r="I233" s="490"/>
    </row>
    <row r="234" spans="1:9" ht="14.25">
      <c r="A234" s="484"/>
      <c r="B234" s="484"/>
      <c r="D234" s="1300"/>
      <c r="E234" s="1300"/>
      <c r="F234" s="1300"/>
      <c r="I234" s="490"/>
    </row>
    <row r="235" spans="1:9" ht="14.25">
      <c r="A235" s="484"/>
      <c r="B235" s="484"/>
      <c r="D235" s="1300"/>
      <c r="E235" s="1300"/>
      <c r="F235" s="1300"/>
      <c r="I235" s="490"/>
    </row>
    <row r="236" spans="1:9" ht="14.25">
      <c r="A236" s="484"/>
      <c r="B236" s="484"/>
      <c r="D236" s="1300"/>
      <c r="E236" s="1300"/>
      <c r="F236" s="1300"/>
      <c r="I236" s="490"/>
    </row>
    <row r="237" spans="1:9" ht="14.25" customHeight="1">
      <c r="A237" s="484"/>
      <c r="B237" s="484"/>
      <c r="D237" s="1300"/>
      <c r="E237" s="1300"/>
      <c r="F237" s="1300"/>
      <c r="I237" s="490"/>
    </row>
    <row r="238" spans="1:9" ht="14.25" customHeight="1">
      <c r="A238" s="484"/>
      <c r="B238" s="484"/>
      <c r="D238" s="445"/>
      <c r="E238" s="445"/>
      <c r="F238" s="445"/>
      <c r="I238" s="490"/>
    </row>
    <row r="239" spans="1:9" ht="14.25">
      <c r="A239" s="484"/>
      <c r="B239" s="484"/>
      <c r="D239" s="1300" t="s">
        <v>1117</v>
      </c>
      <c r="E239" s="1300"/>
      <c r="F239" s="1300"/>
      <c r="I239" s="490"/>
    </row>
    <row r="240" spans="1:9" ht="14.25">
      <c r="A240" s="484"/>
      <c r="B240" s="484"/>
      <c r="D240" s="1300"/>
      <c r="E240" s="1300"/>
      <c r="F240" s="1300"/>
      <c r="I240" s="490"/>
    </row>
    <row r="241" spans="1:9" ht="14.25">
      <c r="A241" s="484"/>
      <c r="B241" s="484"/>
      <c r="D241" s="1300"/>
      <c r="E241" s="1300"/>
      <c r="F241" s="1300"/>
      <c r="I241" s="490"/>
    </row>
    <row r="242" spans="1:9" ht="14.25">
      <c r="A242" s="484"/>
      <c r="B242" s="484"/>
      <c r="D242" s="1300"/>
      <c r="E242" s="1300"/>
      <c r="F242" s="1300"/>
      <c r="I242" s="490"/>
    </row>
    <row r="243" spans="1:9" ht="14.25">
      <c r="A243" s="484"/>
      <c r="B243" s="484"/>
      <c r="D243" s="1300"/>
      <c r="E243" s="1300"/>
      <c r="F243" s="1300"/>
      <c r="I243" s="490"/>
    </row>
    <row r="244" spans="1:9" ht="14.25">
      <c r="A244" s="484"/>
      <c r="B244" s="484"/>
      <c r="D244" s="446"/>
      <c r="E244" s="446"/>
      <c r="F244" s="446"/>
      <c r="I244" s="490"/>
    </row>
    <row r="245" spans="1:9" ht="14.25">
      <c r="A245" s="484"/>
      <c r="B245" s="485" t="s">
        <v>2615</v>
      </c>
      <c r="D245" s="1300" t="s">
        <v>2052</v>
      </c>
      <c r="E245" s="1300"/>
      <c r="F245" s="1300"/>
      <c r="I245" s="490"/>
    </row>
    <row r="246" spans="1:9" ht="14.25">
      <c r="A246" s="484"/>
      <c r="B246" s="484"/>
      <c r="D246" s="1300"/>
      <c r="E246" s="1300"/>
      <c r="F246" s="1300"/>
      <c r="I246" s="490"/>
    </row>
    <row r="247" spans="1:9" ht="14.25">
      <c r="A247" s="484"/>
      <c r="B247" s="484"/>
      <c r="D247" s="1300"/>
      <c r="E247" s="1300"/>
      <c r="F247" s="1300"/>
      <c r="I247" s="490"/>
    </row>
    <row r="248" spans="1:9" ht="14.25">
      <c r="A248" s="484"/>
      <c r="B248" s="484"/>
      <c r="E248" s="1035" t="s">
        <v>1895</v>
      </c>
      <c r="I248" s="490"/>
    </row>
    <row r="249" spans="1:9" ht="14.25">
      <c r="A249" s="484"/>
      <c r="B249" s="484"/>
      <c r="D249" s="446"/>
      <c r="E249" s="446"/>
      <c r="F249" s="446"/>
      <c r="I249" s="490"/>
    </row>
    <row r="250" spans="1:9" ht="14.45" customHeight="1">
      <c r="A250" s="484"/>
      <c r="B250" s="485" t="s">
        <v>2615</v>
      </c>
      <c r="D250" s="1300" t="s">
        <v>2053</v>
      </c>
      <c r="E250" s="1300"/>
      <c r="F250" s="1300"/>
      <c r="I250" s="490"/>
    </row>
    <row r="251" spans="1:9" ht="14.25">
      <c r="A251" s="484"/>
      <c r="B251" s="484"/>
      <c r="D251" s="1300"/>
      <c r="E251" s="1300"/>
      <c r="F251" s="1300"/>
      <c r="I251" s="490"/>
    </row>
    <row r="252" spans="1:9" ht="14.25">
      <c r="A252" s="484"/>
      <c r="B252" s="484"/>
      <c r="D252" s="1300"/>
      <c r="E252" s="1300"/>
      <c r="F252" s="1300"/>
      <c r="I252" s="490"/>
    </row>
    <row r="253" spans="1:9" ht="14.25">
      <c r="A253" s="484"/>
      <c r="B253" s="484"/>
      <c r="D253" s="1300"/>
      <c r="E253" s="1300"/>
      <c r="F253" s="1300"/>
      <c r="I253" s="490"/>
    </row>
    <row r="254" spans="1:9" ht="14.25">
      <c r="A254" s="484"/>
      <c r="B254" s="484"/>
      <c r="D254" s="1300"/>
      <c r="E254" s="1300"/>
      <c r="F254" s="1300"/>
      <c r="I254" s="490"/>
    </row>
    <row r="255" spans="1:9" ht="14.25">
      <c r="A255" s="484"/>
      <c r="B255" s="484"/>
      <c r="D255" s="445"/>
      <c r="E255" s="445"/>
      <c r="F255" s="445"/>
      <c r="I255" s="490"/>
    </row>
    <row r="256" spans="1:9" ht="14.25">
      <c r="A256" s="484"/>
      <c r="B256" s="485" t="s">
        <v>2614</v>
      </c>
      <c r="D256" s="392" t="s">
        <v>2054</v>
      </c>
      <c r="E256" s="445"/>
      <c r="F256" s="445"/>
      <c r="I256" s="490"/>
    </row>
    <row r="257" spans="1:9" ht="14.25">
      <c r="A257" s="484"/>
      <c r="B257" s="484"/>
      <c r="E257" s="1035" t="s">
        <v>1896</v>
      </c>
      <c r="I257" s="490"/>
    </row>
    <row r="258" spans="1:9">
      <c r="D258" s="446"/>
      <c r="E258" s="446"/>
      <c r="F258" s="446"/>
      <c r="I258" s="490"/>
    </row>
    <row r="259" spans="1:9" ht="14.25">
      <c r="A259" s="484"/>
      <c r="B259" s="485" t="s">
        <v>2614</v>
      </c>
      <c r="D259" s="1300" t="s">
        <v>1118</v>
      </c>
      <c r="E259" s="1300"/>
      <c r="F259" s="1300"/>
      <c r="I259" s="490"/>
    </row>
    <row r="260" spans="1:9" ht="14.25">
      <c r="A260" s="484"/>
      <c r="B260" s="484"/>
      <c r="D260" s="1300"/>
      <c r="E260" s="1300"/>
      <c r="F260" s="1300"/>
      <c r="I260" s="490"/>
    </row>
    <row r="261" spans="1:9">
      <c r="D261" s="491"/>
      <c r="I261" s="490"/>
    </row>
    <row r="262" spans="1:9">
      <c r="A262" s="1307" t="s">
        <v>1046</v>
      </c>
      <c r="B262" s="1307"/>
      <c r="C262" s="1307"/>
      <c r="D262" s="1307"/>
      <c r="E262" s="1307"/>
      <c r="F262" s="1307"/>
      <c r="G262" s="1307"/>
      <c r="H262" s="1027"/>
      <c r="I262" s="1152"/>
    </row>
    <row r="263" spans="1:9">
      <c r="D263" s="491"/>
      <c r="I263" s="490"/>
    </row>
    <row r="264" spans="1:9">
      <c r="C264" s="486"/>
      <c r="D264" s="1308" t="s">
        <v>1120</v>
      </c>
      <c r="E264" s="1308"/>
      <c r="F264" s="1308"/>
      <c r="I264" s="490"/>
    </row>
    <row r="265" spans="1:9">
      <c r="A265" s="482"/>
      <c r="B265" s="482"/>
      <c r="C265" s="482"/>
      <c r="D265" s="446"/>
      <c r="E265" s="446"/>
      <c r="F265" s="446"/>
      <c r="I265" s="490"/>
    </row>
    <row r="266" spans="1:9">
      <c r="A266" s="483"/>
      <c r="B266" s="483"/>
      <c r="C266" s="483"/>
      <c r="D266" s="1308" t="s">
        <v>269</v>
      </c>
      <c r="E266" s="1308"/>
      <c r="F266" s="1308"/>
      <c r="I266" s="490"/>
    </row>
    <row r="267" spans="1:9" ht="14.45" customHeight="1">
      <c r="A267" s="484"/>
      <c r="B267" s="485" t="s">
        <v>2614</v>
      </c>
      <c r="D267" s="1300" t="s">
        <v>1195</v>
      </c>
      <c r="E267" s="1300"/>
      <c r="F267" s="1300"/>
      <c r="I267" s="490"/>
    </row>
    <row r="268" spans="1:9">
      <c r="D268" s="1300"/>
      <c r="E268" s="1300"/>
      <c r="F268" s="1300"/>
      <c r="I268" s="490"/>
    </row>
    <row r="269" spans="1:9">
      <c r="E269" s="1035" t="s">
        <v>1897</v>
      </c>
      <c r="I269" s="490"/>
    </row>
    <row r="270" spans="1:9">
      <c r="D270" s="446"/>
      <c r="E270" s="446"/>
      <c r="F270" s="446"/>
      <c r="I270" s="490"/>
    </row>
    <row r="271" spans="1:9" ht="14.45" customHeight="1">
      <c r="A271" s="484"/>
      <c r="B271" s="485" t="s">
        <v>2615</v>
      </c>
      <c r="D271" s="1300" t="s">
        <v>2055</v>
      </c>
      <c r="E271" s="1300"/>
      <c r="F271" s="1300"/>
      <c r="I271" s="490"/>
    </row>
    <row r="272" spans="1:9">
      <c r="D272" s="1300"/>
      <c r="E272" s="1300"/>
      <c r="F272" s="1300"/>
      <c r="I272" s="490"/>
    </row>
    <row r="273" spans="1:9">
      <c r="D273" s="1300"/>
      <c r="E273" s="1300"/>
      <c r="F273" s="1300"/>
      <c r="I273" s="490"/>
    </row>
    <row r="274" spans="1:9">
      <c r="D274" s="1300"/>
      <c r="E274" s="1300"/>
      <c r="F274" s="1300"/>
      <c r="I274" s="490"/>
    </row>
    <row r="275" spans="1:9">
      <c r="D275" s="1300"/>
      <c r="E275" s="1300"/>
      <c r="F275" s="1300"/>
      <c r="I275" s="490"/>
    </row>
    <row r="276" spans="1:9">
      <c r="D276" s="1300"/>
      <c r="E276" s="1300"/>
      <c r="F276" s="1300"/>
      <c r="I276" s="490"/>
    </row>
    <row r="277" spans="1:9">
      <c r="D277" s="446"/>
      <c r="E277" s="446"/>
      <c r="F277" s="446"/>
      <c r="I277" s="490"/>
    </row>
    <row r="278" spans="1:9" ht="14.25">
      <c r="A278" s="484"/>
      <c r="B278" s="485" t="s">
        <v>2615</v>
      </c>
      <c r="D278" s="1300" t="s">
        <v>1121</v>
      </c>
      <c r="E278" s="1300"/>
      <c r="F278" s="1300"/>
      <c r="I278" s="490"/>
    </row>
    <row r="279" spans="1:9">
      <c r="D279" s="1300"/>
      <c r="E279" s="1300"/>
      <c r="F279" s="1300"/>
      <c r="I279" s="490"/>
    </row>
    <row r="280" spans="1:9">
      <c r="D280" s="1300"/>
      <c r="E280" s="1300"/>
      <c r="F280" s="1300"/>
      <c r="I280" s="490"/>
    </row>
    <row r="281" spans="1:9">
      <c r="D281" s="492"/>
      <c r="E281" s="446"/>
      <c r="F281" s="446"/>
      <c r="I281" s="490"/>
    </row>
    <row r="282" spans="1:9">
      <c r="A282" s="1307" t="s">
        <v>1047</v>
      </c>
      <c r="B282" s="1307"/>
      <c r="C282" s="1307"/>
      <c r="D282" s="1307"/>
      <c r="E282" s="1307"/>
      <c r="F282" s="1307"/>
      <c r="G282" s="1307"/>
      <c r="H282" s="1027"/>
      <c r="I282" s="1152"/>
    </row>
    <row r="283" spans="1:9">
      <c r="D283" s="492"/>
      <c r="E283" s="446"/>
      <c r="F283" s="446"/>
      <c r="I283" s="490"/>
    </row>
    <row r="284" spans="1:9">
      <c r="C284" s="482"/>
      <c r="D284" s="1316" t="s">
        <v>1122</v>
      </c>
      <c r="E284" s="1316"/>
      <c r="F284" s="1316"/>
      <c r="I284" s="490"/>
    </row>
    <row r="285" spans="1:9">
      <c r="C285" s="482"/>
      <c r="D285" s="1316"/>
      <c r="E285" s="1316"/>
      <c r="F285" s="1316"/>
      <c r="I285" s="490"/>
    </row>
    <row r="286" spans="1:9">
      <c r="A286" s="483"/>
      <c r="B286" s="483"/>
      <c r="C286" s="483"/>
      <c r="D286" s="404"/>
      <c r="I286" s="490"/>
    </row>
    <row r="287" spans="1:9">
      <c r="C287" s="483"/>
      <c r="D287" s="1308" t="s">
        <v>209</v>
      </c>
      <c r="E287" s="1308"/>
      <c r="F287" s="1308"/>
      <c r="I287" s="490"/>
    </row>
    <row r="288" spans="1:9" ht="15.75" customHeight="1">
      <c r="A288" s="484"/>
      <c r="B288" s="484"/>
      <c r="D288" s="1325" t="s">
        <v>1123</v>
      </c>
      <c r="E288" s="1325"/>
      <c r="F288" s="1325"/>
      <c r="I288" s="490"/>
    </row>
    <row r="289" spans="1:9">
      <c r="E289" s="446"/>
      <c r="F289" s="446"/>
      <c r="I289" s="490"/>
    </row>
    <row r="290" spans="1:9" ht="14.25">
      <c r="A290" s="484"/>
      <c r="B290" s="485" t="s">
        <v>2615</v>
      </c>
      <c r="D290" s="1300" t="s">
        <v>1124</v>
      </c>
      <c r="E290" s="1300"/>
      <c r="F290" s="1300"/>
      <c r="I290" s="490"/>
    </row>
    <row r="291" spans="1:9" ht="14.25">
      <c r="A291" s="484"/>
      <c r="B291" s="484"/>
      <c r="D291" s="1300"/>
      <c r="E291" s="1300"/>
      <c r="F291" s="1300"/>
      <c r="I291" s="490"/>
    </row>
    <row r="292" spans="1:9">
      <c r="D292" s="446"/>
      <c r="E292" s="446"/>
      <c r="F292" s="446"/>
      <c r="I292" s="490"/>
    </row>
    <row r="293" spans="1:9" ht="14.25">
      <c r="A293" s="484"/>
      <c r="B293" s="485" t="s">
        <v>2615</v>
      </c>
      <c r="D293" s="1300" t="s">
        <v>1125</v>
      </c>
      <c r="E293" s="1300"/>
      <c r="F293" s="1300"/>
      <c r="I293" s="490"/>
    </row>
    <row r="294" spans="1:9" ht="14.25">
      <c r="A294" s="484"/>
      <c r="B294" s="484"/>
      <c r="D294" s="1300"/>
      <c r="E294" s="1300"/>
      <c r="F294" s="1300"/>
      <c r="I294" s="490"/>
    </row>
    <row r="295" spans="1:9" ht="14.25">
      <c r="A295" s="484"/>
      <c r="B295" s="484"/>
      <c r="D295" s="1300"/>
      <c r="E295" s="1300"/>
      <c r="F295" s="1300"/>
      <c r="I295" s="490"/>
    </row>
    <row r="296" spans="1:9">
      <c r="D296" s="446"/>
      <c r="E296" s="446"/>
      <c r="F296" s="446"/>
      <c r="I296" s="490"/>
    </row>
    <row r="297" spans="1:9" ht="14.25">
      <c r="A297" s="484"/>
      <c r="B297" s="485" t="s">
        <v>2615</v>
      </c>
      <c r="D297" s="1300" t="s">
        <v>1126</v>
      </c>
      <c r="E297" s="1300"/>
      <c r="F297" s="1300"/>
      <c r="I297" s="490"/>
    </row>
    <row r="298" spans="1:9" ht="14.25">
      <c r="A298" s="484"/>
      <c r="B298" s="484"/>
      <c r="D298" s="1300"/>
      <c r="E298" s="1300"/>
      <c r="F298" s="1300"/>
      <c r="I298" s="490"/>
    </row>
    <row r="299" spans="1:9">
      <c r="A299" s="490"/>
      <c r="B299" s="490"/>
      <c r="E299" s="446"/>
      <c r="F299" s="446"/>
      <c r="I299" s="490"/>
    </row>
    <row r="300" spans="1:9">
      <c r="A300" s="1307" t="s">
        <v>1048</v>
      </c>
      <c r="B300" s="1307"/>
      <c r="C300" s="1307"/>
      <c r="D300" s="1307"/>
      <c r="E300" s="1307"/>
      <c r="F300" s="1307"/>
      <c r="G300" s="1307"/>
      <c r="H300" s="1027"/>
      <c r="I300" s="1152"/>
    </row>
    <row r="301" spans="1:9">
      <c r="A301" s="490"/>
      <c r="B301" s="490"/>
      <c r="D301" s="446"/>
      <c r="E301" s="446"/>
      <c r="F301" s="446"/>
      <c r="I301" s="490"/>
    </row>
    <row r="302" spans="1:9">
      <c r="C302" s="490"/>
      <c r="D302" s="1308" t="s">
        <v>682</v>
      </c>
      <c r="E302" s="1308"/>
      <c r="F302" s="1308"/>
      <c r="I302" s="490"/>
    </row>
    <row r="303" spans="1:9">
      <c r="C303" s="490"/>
      <c r="D303" s="1298" t="s">
        <v>1127</v>
      </c>
      <c r="E303" s="1298"/>
      <c r="F303" s="1298"/>
      <c r="I303" s="490"/>
    </row>
    <row r="304" spans="1:9">
      <c r="C304" s="490"/>
      <c r="D304" s="493"/>
      <c r="I304" s="490"/>
    </row>
    <row r="305" spans="1:9">
      <c r="B305" s="485" t="s">
        <v>2615</v>
      </c>
      <c r="D305" s="1298" t="s">
        <v>1128</v>
      </c>
      <c r="E305" s="1298"/>
      <c r="F305" s="1298"/>
      <c r="I305" s="490"/>
    </row>
    <row r="306" spans="1:9" ht="14.25">
      <c r="A306" s="484"/>
      <c r="B306" s="484"/>
      <c r="D306" s="494"/>
      <c r="E306" s="495"/>
      <c r="F306" s="495"/>
      <c r="I306" s="490"/>
    </row>
    <row r="307" spans="1:9" ht="13.7" customHeight="1">
      <c r="B307" s="485" t="s">
        <v>2615</v>
      </c>
      <c r="D307" s="1309" t="s">
        <v>1218</v>
      </c>
      <c r="E307" s="1309"/>
      <c r="F307" s="1309"/>
      <c r="I307" s="490"/>
    </row>
    <row r="308" spans="1:9" ht="14.25">
      <c r="A308" s="484"/>
      <c r="B308" s="484"/>
      <c r="D308" s="1309"/>
      <c r="E308" s="1309"/>
      <c r="F308" s="1309"/>
      <c r="I308" s="490"/>
    </row>
    <row r="309" spans="1:9" ht="14.25">
      <c r="A309" s="484"/>
      <c r="B309" s="484"/>
      <c r="D309" s="1309"/>
      <c r="E309" s="1309"/>
      <c r="F309" s="1309"/>
      <c r="I309" s="490"/>
    </row>
    <row r="310" spans="1:9" ht="14.25">
      <c r="A310" s="484"/>
      <c r="B310" s="484"/>
      <c r="D310" s="1309"/>
      <c r="E310" s="1309"/>
      <c r="F310" s="1309"/>
      <c r="I310" s="490"/>
    </row>
    <row r="311" spans="1:9" ht="14.25">
      <c r="A311" s="484"/>
      <c r="B311" s="484"/>
      <c r="D311" s="1309"/>
      <c r="E311" s="1309"/>
      <c r="F311" s="1309"/>
      <c r="I311" s="490"/>
    </row>
    <row r="312" spans="1:9" ht="14.25">
      <c r="A312" s="484"/>
      <c r="B312" s="484"/>
      <c r="D312" s="494"/>
      <c r="E312" s="495"/>
      <c r="F312" s="495"/>
      <c r="I312" s="490"/>
    </row>
    <row r="313" spans="1:9" ht="13.7" customHeight="1">
      <c r="B313" s="485" t="s">
        <v>2615</v>
      </c>
      <c r="D313" s="1309" t="s">
        <v>1129</v>
      </c>
      <c r="E313" s="1309"/>
      <c r="F313" s="1309"/>
      <c r="I313" s="490"/>
    </row>
    <row r="314" spans="1:9">
      <c r="D314" s="1309"/>
      <c r="E314" s="1309"/>
      <c r="F314" s="1309"/>
      <c r="I314" s="490"/>
    </row>
    <row r="315" spans="1:9" ht="14.25">
      <c r="A315" s="484"/>
      <c r="B315" s="484"/>
      <c r="D315" s="494"/>
      <c r="E315" s="495"/>
      <c r="F315" s="495"/>
      <c r="I315" s="490"/>
    </row>
    <row r="316" spans="1:9">
      <c r="B316" s="485" t="s">
        <v>2615</v>
      </c>
      <c r="D316" s="1298" t="s">
        <v>1130</v>
      </c>
      <c r="E316" s="1298"/>
      <c r="F316" s="1298"/>
      <c r="I316" s="490"/>
    </row>
    <row r="317" spans="1:9">
      <c r="E317" s="446"/>
      <c r="F317" s="446"/>
      <c r="I317" s="490"/>
    </row>
    <row r="318" spans="1:9" ht="14.25">
      <c r="A318" s="484"/>
      <c r="B318" s="485" t="s">
        <v>2615</v>
      </c>
      <c r="D318" s="1300" t="s">
        <v>2245</v>
      </c>
      <c r="E318" s="1300"/>
      <c r="F318" s="1300"/>
      <c r="I318" s="490"/>
    </row>
    <row r="319" spans="1:9" ht="14.25">
      <c r="A319" s="484"/>
      <c r="B319" s="484"/>
      <c r="D319" s="1300"/>
      <c r="E319" s="1300"/>
      <c r="F319" s="1300"/>
      <c r="I319" s="490"/>
    </row>
    <row r="320" spans="1:9" ht="14.25">
      <c r="A320" s="484"/>
      <c r="B320" s="484"/>
      <c r="D320" s="1300"/>
      <c r="E320" s="1300"/>
      <c r="F320" s="1300"/>
      <c r="I320" s="490"/>
    </row>
    <row r="321" spans="1:9" ht="14.25">
      <c r="A321" s="484"/>
      <c r="B321" s="484"/>
      <c r="D321" s="1300"/>
      <c r="E321" s="1300"/>
      <c r="F321" s="1300"/>
      <c r="I321" s="490"/>
    </row>
    <row r="322" spans="1:9" ht="14.25">
      <c r="A322" s="484"/>
      <c r="B322" s="484"/>
      <c r="D322" s="1300"/>
      <c r="E322" s="1300"/>
      <c r="F322" s="1300"/>
      <c r="I322" s="490"/>
    </row>
    <row r="323" spans="1:9" ht="14.25">
      <c r="A323" s="484"/>
      <c r="B323" s="484"/>
      <c r="D323" s="1300"/>
      <c r="E323" s="1300"/>
      <c r="F323" s="1300"/>
      <c r="I323" s="490"/>
    </row>
    <row r="324" spans="1:9" ht="14.25">
      <c r="A324" s="484"/>
      <c r="B324" s="484"/>
      <c r="D324" s="1300"/>
      <c r="E324" s="1300"/>
      <c r="F324" s="1300"/>
      <c r="I324" s="490"/>
    </row>
    <row r="325" spans="1:9" ht="14.25">
      <c r="A325" s="484"/>
      <c r="B325" s="484"/>
      <c r="D325" s="1300"/>
      <c r="E325" s="1300"/>
      <c r="F325" s="1300"/>
      <c r="I325" s="490"/>
    </row>
    <row r="326" spans="1:9" ht="14.25">
      <c r="A326" s="484"/>
      <c r="B326" s="484"/>
      <c r="D326" s="1300"/>
      <c r="E326" s="1300"/>
      <c r="F326" s="1300"/>
      <c r="I326" s="490"/>
    </row>
    <row r="327" spans="1:9" ht="14.25">
      <c r="A327" s="484"/>
      <c r="B327" s="484"/>
      <c r="D327" s="1300"/>
      <c r="E327" s="1300"/>
      <c r="F327" s="1300"/>
      <c r="I327" s="490"/>
    </row>
    <row r="328" spans="1:9" ht="14.25">
      <c r="A328" s="484"/>
      <c r="B328" s="484"/>
      <c r="D328" s="1300"/>
      <c r="E328" s="1300"/>
      <c r="F328" s="1300"/>
      <c r="I328" s="490"/>
    </row>
    <row r="329" spans="1:9" ht="14.25">
      <c r="A329" s="484"/>
      <c r="B329" s="484"/>
      <c r="D329" s="1300"/>
      <c r="E329" s="1300"/>
      <c r="F329" s="1300"/>
      <c r="I329" s="490"/>
    </row>
    <row r="330" spans="1:9" ht="14.25">
      <c r="A330" s="484"/>
      <c r="B330" s="484"/>
      <c r="D330" s="1300"/>
      <c r="E330" s="1300"/>
      <c r="F330" s="1300"/>
      <c r="I330" s="490"/>
    </row>
    <row r="331" spans="1:9" ht="14.25">
      <c r="A331" s="484"/>
      <c r="B331" s="484"/>
      <c r="D331" s="1300"/>
      <c r="E331" s="1300"/>
      <c r="F331" s="1300"/>
      <c r="I331" s="490"/>
    </row>
    <row r="332" spans="1:9" ht="14.25">
      <c r="A332" s="484"/>
      <c r="B332" s="484"/>
      <c r="D332" s="1300"/>
      <c r="E332" s="1300"/>
      <c r="F332" s="1300"/>
      <c r="I332" s="490"/>
    </row>
    <row r="333" spans="1:9">
      <c r="D333" s="446"/>
      <c r="E333" s="446"/>
      <c r="F333" s="446"/>
      <c r="I333" s="490"/>
    </row>
    <row r="334" spans="1:9" ht="14.25">
      <c r="A334" s="484"/>
      <c r="B334" s="485" t="s">
        <v>2615</v>
      </c>
      <c r="D334" s="1300" t="s">
        <v>1131</v>
      </c>
      <c r="E334" s="1300"/>
      <c r="F334" s="1300"/>
      <c r="I334" s="490"/>
    </row>
    <row r="335" spans="1:9">
      <c r="D335" s="1300"/>
      <c r="E335" s="1300"/>
      <c r="F335" s="1300"/>
      <c r="I335" s="490"/>
    </row>
    <row r="336" spans="1:9">
      <c r="D336" s="1300"/>
      <c r="E336" s="1300"/>
      <c r="F336" s="1300"/>
      <c r="I336" s="490"/>
    </row>
    <row r="337" spans="1:9">
      <c r="D337" s="1300"/>
      <c r="E337" s="1300"/>
      <c r="F337" s="1300"/>
      <c r="I337" s="490"/>
    </row>
    <row r="338" spans="1:9">
      <c r="D338" s="1300"/>
      <c r="E338" s="1300"/>
      <c r="F338" s="1300"/>
      <c r="I338" s="490"/>
    </row>
    <row r="339" spans="1:9">
      <c r="D339" s="1300"/>
      <c r="E339" s="1300"/>
      <c r="F339" s="1300"/>
      <c r="I339" s="490"/>
    </row>
    <row r="340" spans="1:9">
      <c r="D340" s="1300"/>
      <c r="E340" s="1300"/>
      <c r="F340" s="1300"/>
      <c r="I340" s="490"/>
    </row>
    <row r="341" spans="1:9">
      <c r="D341" s="1300"/>
      <c r="E341" s="1300"/>
      <c r="F341" s="1300"/>
      <c r="I341" s="490"/>
    </row>
    <row r="342" spans="1:9">
      <c r="D342" s="1300"/>
      <c r="E342" s="1300"/>
      <c r="F342" s="1300"/>
      <c r="I342" s="490"/>
    </row>
    <row r="343" spans="1:9">
      <c r="D343" s="446"/>
      <c r="E343" s="446"/>
      <c r="F343" s="446"/>
      <c r="I343" s="490"/>
    </row>
    <row r="344" spans="1:9" ht="14.25" customHeight="1">
      <c r="A344" s="484"/>
      <c r="B344" s="485" t="s">
        <v>2615</v>
      </c>
      <c r="D344" s="1300" t="s">
        <v>1902</v>
      </c>
      <c r="E344" s="1300"/>
      <c r="F344" s="1300"/>
      <c r="I344" s="490"/>
    </row>
    <row r="345" spans="1:9">
      <c r="D345" s="1300"/>
      <c r="E345" s="1300"/>
      <c r="F345" s="1300"/>
      <c r="I345" s="490"/>
    </row>
    <row r="346" spans="1:9">
      <c r="D346" s="1300"/>
      <c r="E346" s="1300"/>
      <c r="F346" s="1300"/>
      <c r="I346" s="490"/>
    </row>
    <row r="347" spans="1:9">
      <c r="D347" s="1300"/>
      <c r="E347" s="1300"/>
      <c r="F347" s="1300"/>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1"/>
      <c r="B351" s="1021"/>
      <c r="C351" s="1021"/>
      <c r="D351" s="1328" t="s">
        <v>978</v>
      </c>
      <c r="E351" s="1328"/>
      <c r="F351" s="1328"/>
      <c r="G351" s="1026"/>
      <c r="H351" s="1026"/>
      <c r="I351" s="1155"/>
    </row>
    <row r="352" spans="1:9" ht="13.5" thickTop="1">
      <c r="D352" s="1327" t="s">
        <v>2246</v>
      </c>
      <c r="E352" s="1327"/>
      <c r="F352" s="1327"/>
      <c r="I352" s="490"/>
    </row>
    <row r="353" spans="1:9">
      <c r="D353" s="446"/>
      <c r="E353" s="446"/>
      <c r="F353" s="446"/>
      <c r="I353" s="490"/>
    </row>
    <row r="354" spans="1:9">
      <c r="A354" s="476"/>
      <c r="B354" s="476"/>
      <c r="C354" s="476"/>
      <c r="D354" s="447"/>
      <c r="E354" s="447"/>
      <c r="F354" s="446"/>
      <c r="I354" s="490"/>
    </row>
    <row r="355" spans="1:9" ht="14.25">
      <c r="A355" s="484"/>
      <c r="B355" s="485" t="s">
        <v>2615</v>
      </c>
      <c r="C355" s="487"/>
      <c r="D355" s="1298" t="s">
        <v>1900</v>
      </c>
      <c r="E355" s="1298"/>
      <c r="F355" s="1298"/>
      <c r="I355" s="490"/>
    </row>
    <row r="356" spans="1:9" ht="12.75" customHeight="1">
      <c r="D356" s="1036"/>
      <c r="E356" s="96" t="s">
        <v>1899</v>
      </c>
      <c r="F356" s="1036"/>
      <c r="I356" s="490"/>
    </row>
    <row r="357" spans="1:9">
      <c r="D357" s="1300" t="s">
        <v>1238</v>
      </c>
      <c r="E357" s="1300"/>
      <c r="F357" s="1300"/>
      <c r="I357" s="490"/>
    </row>
    <row r="358" spans="1:9">
      <c r="D358" s="1300"/>
      <c r="E358" s="1300"/>
      <c r="F358" s="1300"/>
      <c r="I358" s="490"/>
    </row>
    <row r="359" spans="1:9">
      <c r="D359" s="1300"/>
      <c r="E359" s="1300"/>
      <c r="F359" s="1300"/>
      <c r="I359" s="490"/>
    </row>
    <row r="360" spans="1:9" ht="14.25">
      <c r="A360" s="484"/>
      <c r="B360" s="485" t="s">
        <v>2615</v>
      </c>
      <c r="C360" s="476"/>
      <c r="D360" s="1317" t="s">
        <v>2056</v>
      </c>
      <c r="E360" s="1317"/>
      <c r="F360" s="1317"/>
      <c r="I360" s="480"/>
    </row>
    <row r="361" spans="1:9">
      <c r="A361" s="476"/>
      <c r="B361" s="476"/>
      <c r="C361" s="476"/>
      <c r="D361" s="447"/>
      <c r="E361" s="447"/>
      <c r="F361" s="446"/>
      <c r="I361" s="490"/>
    </row>
    <row r="362" spans="1:9">
      <c r="A362" s="476"/>
      <c r="B362" s="485" t="s">
        <v>2615</v>
      </c>
      <c r="C362" s="476"/>
      <c r="D362" s="1271" t="s">
        <v>2057</v>
      </c>
      <c r="E362" s="1271"/>
      <c r="F362" s="1271"/>
      <c r="I362" s="490"/>
    </row>
    <row r="363" spans="1:9">
      <c r="A363" s="476"/>
      <c r="B363" s="476"/>
      <c r="C363" s="476"/>
      <c r="D363" s="1271"/>
      <c r="E363" s="1271"/>
      <c r="F363" s="1271"/>
      <c r="I363" s="490"/>
    </row>
    <row r="364" spans="1:9">
      <c r="A364" s="476"/>
      <c r="B364" s="476"/>
      <c r="C364" s="476"/>
      <c r="D364" s="1271"/>
      <c r="E364" s="1271"/>
      <c r="F364" s="1271"/>
      <c r="I364" s="490"/>
    </row>
    <row r="365" spans="1:9">
      <c r="A365" s="476"/>
      <c r="B365" s="476"/>
      <c r="C365" s="476"/>
      <c r="D365" s="1271"/>
      <c r="E365" s="1271"/>
      <c r="F365" s="1271"/>
      <c r="I365" s="490"/>
    </row>
    <row r="366" spans="1:9">
      <c r="A366" s="476"/>
      <c r="B366" s="476"/>
      <c r="C366" s="476"/>
      <c r="D366" s="1271"/>
      <c r="E366" s="1271"/>
      <c r="F366" s="1271"/>
      <c r="I366" s="490"/>
    </row>
    <row r="367" spans="1:9">
      <c r="A367" s="476"/>
      <c r="B367" s="476"/>
      <c r="C367" s="476"/>
      <c r="D367" s="1271"/>
      <c r="E367" s="1271"/>
      <c r="F367" s="1271"/>
      <c r="I367" s="490"/>
    </row>
    <row r="368" spans="1:9">
      <c r="A368" s="476"/>
      <c r="B368" s="476"/>
      <c r="C368" s="476"/>
      <c r="D368" s="1271"/>
      <c r="E368" s="1271"/>
      <c r="F368" s="1271"/>
      <c r="I368" s="490"/>
    </row>
    <row r="369" spans="1:9">
      <c r="A369" s="476"/>
      <c r="B369" s="476"/>
      <c r="C369" s="476"/>
      <c r="D369" s="1271"/>
      <c r="E369" s="1271"/>
      <c r="F369" s="1271"/>
      <c r="I369" s="490"/>
    </row>
    <row r="370" spans="1:9">
      <c r="A370" s="476"/>
      <c r="B370" s="476"/>
      <c r="C370" s="476"/>
      <c r="D370" s="1271"/>
      <c r="E370" s="1271"/>
      <c r="F370" s="1271"/>
      <c r="I370" s="490"/>
    </row>
    <row r="371" spans="1:9">
      <c r="A371" s="476"/>
      <c r="B371" s="476"/>
      <c r="C371" s="476"/>
      <c r="D371" s="1271"/>
      <c r="E371" s="1271"/>
      <c r="F371" s="1271"/>
      <c r="I371" s="490"/>
    </row>
    <row r="372" spans="1:9">
      <c r="A372" s="476"/>
      <c r="B372" s="476"/>
      <c r="C372" s="476"/>
      <c r="D372" s="1271"/>
      <c r="E372" s="1271"/>
      <c r="F372" s="1271"/>
      <c r="I372" s="490"/>
    </row>
    <row r="373" spans="1:9">
      <c r="A373" s="476"/>
      <c r="B373" s="476"/>
      <c r="C373" s="476"/>
      <c r="D373" s="1271"/>
      <c r="E373" s="1271"/>
      <c r="F373" s="1271"/>
      <c r="I373" s="490"/>
    </row>
    <row r="374" spans="1:9">
      <c r="A374" s="476"/>
      <c r="B374" s="476"/>
      <c r="C374" s="476"/>
      <c r="D374" s="451"/>
      <c r="E374" s="451"/>
      <c r="F374" s="451"/>
      <c r="I374" s="490"/>
    </row>
    <row r="375" spans="1:9" ht="12.4" customHeight="1">
      <c r="A375" s="476"/>
      <c r="B375" s="485" t="s">
        <v>2615</v>
      </c>
      <c r="C375" s="476"/>
      <c r="D375" s="1279" t="s">
        <v>1220</v>
      </c>
      <c r="E375" s="1279"/>
      <c r="F375" s="1279"/>
      <c r="I375" s="490"/>
    </row>
    <row r="376" spans="1:9">
      <c r="A376" s="476"/>
      <c r="B376" s="476"/>
      <c r="C376" s="476"/>
      <c r="D376" s="1279"/>
      <c r="E376" s="1279"/>
      <c r="F376" s="1279"/>
      <c r="I376" s="490"/>
    </row>
    <row r="377" spans="1:9">
      <c r="A377" s="476"/>
      <c r="B377" s="476"/>
      <c r="C377" s="476"/>
      <c r="D377" s="1279"/>
      <c r="E377" s="1279"/>
      <c r="F377" s="1279"/>
      <c r="I377" s="490"/>
    </row>
    <row r="378" spans="1:9">
      <c r="A378" s="476"/>
      <c r="B378" s="476"/>
      <c r="C378" s="476"/>
      <c r="D378" s="1279"/>
      <c r="E378" s="1279"/>
      <c r="F378" s="1279"/>
      <c r="I378" s="490"/>
    </row>
    <row r="379" spans="1:9">
      <c r="A379" s="476"/>
      <c r="B379" s="476"/>
      <c r="C379" s="476"/>
      <c r="D379" s="524"/>
      <c r="E379" s="524"/>
      <c r="F379" s="524"/>
      <c r="I379" s="490"/>
    </row>
    <row r="380" spans="1:9">
      <c r="A380" s="476"/>
      <c r="B380" s="485" t="s">
        <v>2615</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ht="14.25">
      <c r="A387" s="484"/>
      <c r="B387" s="485" t="s">
        <v>2615</v>
      </c>
      <c r="C387" s="476"/>
      <c r="D387" s="1271" t="s">
        <v>1132</v>
      </c>
      <c r="E387" s="1271"/>
      <c r="F387" s="1271"/>
      <c r="I387" s="490"/>
    </row>
    <row r="388" spans="1:9">
      <c r="A388" s="476"/>
      <c r="B388" s="476"/>
      <c r="C388" s="476"/>
      <c r="D388" s="1271"/>
      <c r="E388" s="1271"/>
      <c r="F388" s="1271"/>
      <c r="I388" s="490"/>
    </row>
    <row r="389" spans="1:9">
      <c r="A389" s="476"/>
      <c r="B389" s="476"/>
      <c r="C389" s="476"/>
      <c r="D389" s="1271"/>
      <c r="E389" s="1271"/>
      <c r="F389" s="1271"/>
      <c r="I389" s="490"/>
    </row>
    <row r="390" spans="1:9">
      <c r="A390" s="476"/>
      <c r="B390" s="476"/>
      <c r="C390" s="476"/>
      <c r="D390" s="1271"/>
      <c r="E390" s="1271"/>
      <c r="F390" s="1271"/>
      <c r="I390" s="490"/>
    </row>
    <row r="391" spans="1:9">
      <c r="A391" s="476"/>
      <c r="B391" s="476"/>
      <c r="C391" s="476"/>
      <c r="D391" s="447"/>
      <c r="E391" s="447"/>
      <c r="F391" s="446"/>
      <c r="I391" s="490"/>
    </row>
    <row r="392" spans="1:9">
      <c r="A392" s="476"/>
      <c r="B392" s="476"/>
      <c r="C392" s="476"/>
      <c r="D392" s="1271" t="s">
        <v>1133</v>
      </c>
      <c r="E392" s="1271"/>
      <c r="F392" s="1271"/>
      <c r="I392" s="490"/>
    </row>
    <row r="393" spans="1:9">
      <c r="A393" s="476"/>
      <c r="B393" s="476"/>
      <c r="C393" s="476"/>
      <c r="D393" s="1271"/>
      <c r="E393" s="1271"/>
      <c r="F393" s="1271"/>
      <c r="I393" s="490"/>
    </row>
    <row r="394" spans="1:9">
      <c r="A394" s="476"/>
      <c r="B394" s="476"/>
      <c r="C394" s="476"/>
      <c r="D394" s="1271"/>
      <c r="E394" s="1271"/>
      <c r="F394" s="1271"/>
      <c r="I394" s="490"/>
    </row>
    <row r="395" spans="1:9">
      <c r="A395" s="476"/>
      <c r="B395" s="476"/>
      <c r="C395" s="476"/>
      <c r="D395" s="1271"/>
      <c r="E395" s="1271"/>
      <c r="F395" s="1271"/>
      <c r="I395" s="490"/>
    </row>
    <row r="396" spans="1:9" ht="18" customHeight="1">
      <c r="A396" s="476"/>
      <c r="B396" s="476"/>
      <c r="C396" s="476"/>
      <c r="D396" s="1271"/>
      <c r="E396" s="1271"/>
      <c r="F396" s="1271"/>
      <c r="I396" s="490"/>
    </row>
    <row r="397" spans="1:9">
      <c r="A397" s="476"/>
      <c r="B397" s="476"/>
      <c r="C397" s="476"/>
      <c r="D397" s="1271"/>
      <c r="E397" s="1271"/>
      <c r="F397" s="1271"/>
      <c r="I397" s="490"/>
    </row>
    <row r="398" spans="1:9">
      <c r="A398" s="476"/>
      <c r="B398" s="476"/>
      <c r="C398" s="476"/>
      <c r="D398" s="1271"/>
      <c r="E398" s="1271"/>
      <c r="F398" s="1271"/>
      <c r="I398" s="490"/>
    </row>
    <row r="399" spans="1:9">
      <c r="A399" s="476"/>
      <c r="B399" s="476"/>
      <c r="C399" s="476"/>
      <c r="D399" s="1271"/>
      <c r="E399" s="1271"/>
      <c r="F399" s="1271"/>
      <c r="I399" s="490"/>
    </row>
    <row r="400" spans="1:9" ht="8.25" customHeight="1">
      <c r="A400" s="476"/>
      <c r="B400" s="476"/>
      <c r="C400" s="476"/>
      <c r="D400" s="1271"/>
      <c r="E400" s="1271"/>
      <c r="F400" s="1271"/>
      <c r="I400" s="490"/>
    </row>
    <row r="401" spans="1:9" ht="13.7" customHeight="1">
      <c r="A401" s="476"/>
      <c r="B401" s="476"/>
      <c r="C401" s="476"/>
      <c r="D401" s="1271" t="s">
        <v>1134</v>
      </c>
      <c r="E401" s="1271"/>
      <c r="F401" s="1271"/>
      <c r="I401" s="490"/>
    </row>
    <row r="402" spans="1:9">
      <c r="A402" s="476"/>
      <c r="B402" s="476"/>
      <c r="C402" s="476"/>
      <c r="D402" s="1271"/>
      <c r="E402" s="1271"/>
      <c r="F402" s="1271"/>
      <c r="I402" s="490"/>
    </row>
    <row r="403" spans="1:9">
      <c r="A403" s="476"/>
      <c r="B403" s="476"/>
      <c r="C403" s="476"/>
      <c r="D403" s="1271"/>
      <c r="E403" s="1271"/>
      <c r="F403" s="1271"/>
      <c r="I403" s="490"/>
    </row>
    <row r="404" spans="1:9">
      <c r="A404" s="476"/>
      <c r="B404" s="476"/>
      <c r="C404" s="476"/>
      <c r="D404" s="1271"/>
      <c r="E404" s="1271"/>
      <c r="F404" s="1271"/>
      <c r="I404" s="490"/>
    </row>
    <row r="405" spans="1:9">
      <c r="A405" s="476"/>
      <c r="B405" s="476"/>
      <c r="C405" s="476"/>
      <c r="D405" s="1271"/>
      <c r="E405" s="1271"/>
      <c r="F405" s="1271"/>
      <c r="I405" s="490"/>
    </row>
    <row r="406" spans="1:9">
      <c r="A406" s="476"/>
      <c r="B406" s="476"/>
      <c r="C406" s="476"/>
      <c r="D406" s="1271"/>
      <c r="E406" s="1271"/>
      <c r="F406" s="1271"/>
      <c r="I406" s="490"/>
    </row>
    <row r="407" spans="1:9">
      <c r="A407" s="476"/>
      <c r="B407" s="476"/>
      <c r="C407" s="476"/>
      <c r="D407" s="1271"/>
      <c r="E407" s="1271"/>
      <c r="F407" s="1271"/>
      <c r="I407" s="490"/>
    </row>
    <row r="408" spans="1:9">
      <c r="A408" s="476"/>
      <c r="B408" s="476"/>
      <c r="C408" s="476"/>
      <c r="D408" s="1271"/>
      <c r="E408" s="1271"/>
      <c r="F408" s="1271"/>
      <c r="I408" s="490"/>
    </row>
    <row r="409" spans="1:9">
      <c r="A409" s="476"/>
      <c r="B409" s="476"/>
      <c r="C409" s="476"/>
      <c r="D409" s="1271"/>
      <c r="E409" s="1271"/>
      <c r="F409" s="1271"/>
      <c r="I409" s="490"/>
    </row>
    <row r="410" spans="1:9">
      <c r="A410" s="476"/>
      <c r="B410" s="476"/>
      <c r="C410" s="476"/>
      <c r="D410" s="1271"/>
      <c r="E410" s="1271"/>
      <c r="F410" s="1271"/>
      <c r="I410" s="490"/>
    </row>
    <row r="411" spans="1:9">
      <c r="A411" s="476"/>
      <c r="B411" s="476"/>
      <c r="C411" s="476"/>
      <c r="D411" s="1271"/>
      <c r="E411" s="1271"/>
      <c r="F411" s="1271"/>
      <c r="I411" s="490"/>
    </row>
    <row r="412" spans="1:9">
      <c r="A412" s="476"/>
      <c r="B412" s="476"/>
      <c r="C412" s="476"/>
      <c r="D412" s="1271"/>
      <c r="E412" s="1271"/>
      <c r="F412" s="1271"/>
      <c r="I412" s="490"/>
    </row>
    <row r="413" spans="1:9">
      <c r="A413" s="476"/>
      <c r="B413" s="476"/>
      <c r="C413" s="496"/>
      <c r="D413" s="1271"/>
      <c r="E413" s="1271"/>
      <c r="F413" s="1271"/>
      <c r="I413" s="490"/>
    </row>
    <row r="414" spans="1:9">
      <c r="A414" s="476"/>
      <c r="B414" s="476"/>
      <c r="C414" s="496"/>
      <c r="D414" s="1271"/>
      <c r="E414" s="1271"/>
      <c r="F414" s="1271"/>
      <c r="I414" s="490"/>
    </row>
    <row r="415" spans="1:9">
      <c r="A415" s="476"/>
      <c r="B415" s="476"/>
      <c r="C415" s="476"/>
      <c r="D415" s="1271"/>
      <c r="E415" s="1271"/>
      <c r="F415" s="1271"/>
      <c r="I415" s="490"/>
    </row>
    <row r="416" spans="1:9">
      <c r="A416" s="476"/>
      <c r="B416" s="476"/>
      <c r="C416" s="496"/>
      <c r="D416" s="1271"/>
      <c r="E416" s="1271"/>
      <c r="F416" s="1271"/>
      <c r="I416" s="490"/>
    </row>
    <row r="417" spans="1:9">
      <c r="A417" s="476"/>
      <c r="B417" s="476"/>
      <c r="C417" s="496"/>
      <c r="D417" s="1271"/>
      <c r="E417" s="1271"/>
      <c r="F417" s="1271"/>
      <c r="I417" s="490"/>
    </row>
    <row r="418" spans="1:9">
      <c r="A418" s="476"/>
      <c r="B418" s="476"/>
      <c r="C418" s="496"/>
      <c r="D418" s="1271"/>
      <c r="E418" s="1271"/>
      <c r="F418" s="1271"/>
      <c r="I418" s="490"/>
    </row>
    <row r="419" spans="1:9">
      <c r="A419" s="476"/>
      <c r="B419" s="476"/>
      <c r="C419" s="476"/>
      <c r="D419" s="447"/>
      <c r="E419" s="447"/>
      <c r="F419" s="446"/>
      <c r="I419" s="490"/>
    </row>
    <row r="420" spans="1:9">
      <c r="A420" s="476"/>
      <c r="B420" s="485" t="s">
        <v>2615</v>
      </c>
      <c r="C420" s="476"/>
      <c r="D420" s="1271" t="s">
        <v>1135</v>
      </c>
      <c r="E420" s="1271"/>
      <c r="F420" s="1271"/>
      <c r="I420" s="490"/>
    </row>
    <row r="421" spans="1:9">
      <c r="A421" s="476"/>
      <c r="B421" s="476"/>
      <c r="C421" s="476"/>
      <c r="D421" s="1271"/>
      <c r="E421" s="1271"/>
      <c r="F421" s="1271"/>
      <c r="I421" s="490"/>
    </row>
    <row r="422" spans="1:9">
      <c r="A422" s="476"/>
      <c r="B422" s="476"/>
      <c r="C422" s="476"/>
      <c r="D422" s="451"/>
      <c r="E422" s="451"/>
      <c r="F422" s="451"/>
      <c r="I422" s="490"/>
    </row>
    <row r="423" spans="1:9" ht="14.45" customHeight="1">
      <c r="A423" s="484"/>
      <c r="B423" s="485" t="s">
        <v>2615</v>
      </c>
      <c r="D423" s="1271" t="s">
        <v>1881</v>
      </c>
      <c r="E423" s="1271"/>
      <c r="F423" s="1271"/>
      <c r="I423" s="490"/>
    </row>
    <row r="424" spans="1:9" ht="14.45" customHeight="1">
      <c r="A424" s="484"/>
      <c r="D424" s="1271"/>
      <c r="E424" s="1271"/>
      <c r="F424" s="1271"/>
      <c r="I424" s="490"/>
    </row>
    <row r="425" spans="1:9" ht="14.45" customHeight="1">
      <c r="A425" s="484"/>
      <c r="D425" s="1271"/>
      <c r="E425" s="1271"/>
      <c r="F425" s="1271"/>
      <c r="I425" s="490"/>
    </row>
    <row r="426" spans="1:9" ht="14.45" customHeight="1">
      <c r="A426" s="484"/>
      <c r="D426" s="1271"/>
      <c r="E426" s="1271"/>
      <c r="F426" s="1271"/>
      <c r="I426" s="490"/>
    </row>
    <row r="427" spans="1:9" ht="14.45" customHeight="1">
      <c r="A427" s="484"/>
      <c r="D427" s="1271"/>
      <c r="E427" s="1271"/>
      <c r="F427" s="1271"/>
      <c r="I427" s="490"/>
    </row>
    <row r="428" spans="1:9" ht="14.45" customHeight="1">
      <c r="A428" s="484"/>
      <c r="D428" s="385"/>
      <c r="E428" s="385"/>
      <c r="F428" s="385"/>
      <c r="I428" s="490"/>
    </row>
    <row r="429" spans="1:9" ht="13.7" customHeight="1">
      <c r="A429" s="484"/>
      <c r="B429" s="485" t="s">
        <v>2615</v>
      </c>
      <c r="C429" s="476"/>
      <c r="D429" s="1271" t="s">
        <v>1239</v>
      </c>
      <c r="E429" s="1271"/>
      <c r="F429" s="1271"/>
      <c r="I429" s="490"/>
    </row>
    <row r="430" spans="1:9" ht="14.25">
      <c r="A430" s="497"/>
      <c r="B430" s="497"/>
      <c r="C430" s="476"/>
      <c r="D430" s="1271"/>
      <c r="E430" s="1271"/>
      <c r="F430" s="1271"/>
      <c r="I430" s="490"/>
    </row>
    <row r="431" spans="1:9" ht="14.25">
      <c r="A431" s="497"/>
      <c r="B431" s="497"/>
      <c r="C431" s="476"/>
      <c r="D431" s="1271"/>
      <c r="E431" s="1271"/>
      <c r="F431" s="1271"/>
      <c r="I431" s="490"/>
    </row>
    <row r="432" spans="1:9" ht="14.25">
      <c r="A432" s="497"/>
      <c r="B432" s="497"/>
      <c r="C432" s="476"/>
      <c r="D432" s="1271"/>
      <c r="E432" s="1271"/>
      <c r="F432" s="1271"/>
      <c r="I432" s="490"/>
    </row>
    <row r="433" spans="1:9" ht="15.75" customHeight="1">
      <c r="A433" s="497"/>
      <c r="B433" s="497"/>
      <c r="C433" s="476"/>
      <c r="D433" s="1329" t="s">
        <v>2073</v>
      </c>
      <c r="E433" s="1271"/>
      <c r="F433" s="1271"/>
      <c r="I433" s="490"/>
    </row>
    <row r="434" spans="1:9">
      <c r="D434" s="446"/>
      <c r="E434" s="446"/>
      <c r="F434" s="446"/>
      <c r="I434" s="490"/>
    </row>
    <row r="435" spans="1:9" ht="14.25">
      <c r="A435" s="484"/>
      <c r="B435" s="485" t="s">
        <v>2615</v>
      </c>
      <c r="C435" s="487"/>
      <c r="D435" s="1300" t="s">
        <v>2058</v>
      </c>
      <c r="E435" s="1300"/>
      <c r="F435" s="1300"/>
      <c r="I435" s="490"/>
    </row>
    <row r="436" spans="1:9" ht="14.25">
      <c r="A436" s="484"/>
      <c r="B436" s="484"/>
      <c r="D436" s="1300"/>
      <c r="E436" s="1300"/>
      <c r="F436" s="1300"/>
      <c r="I436" s="490"/>
    </row>
    <row r="437" spans="1:9">
      <c r="D437" s="1300"/>
      <c r="E437" s="1300"/>
      <c r="F437" s="1300"/>
      <c r="I437" s="490"/>
    </row>
    <row r="438" spans="1:9">
      <c r="D438" s="1300"/>
      <c r="E438" s="1300"/>
      <c r="F438" s="1300"/>
      <c r="I438" s="490"/>
    </row>
    <row r="439" spans="1:9">
      <c r="D439" s="1300"/>
      <c r="E439" s="1300"/>
      <c r="F439" s="1300"/>
      <c r="I439" s="490"/>
    </row>
    <row r="440" spans="1:9">
      <c r="D440" s="1300"/>
      <c r="E440" s="1300"/>
      <c r="F440" s="1300"/>
      <c r="I440" s="490"/>
    </row>
    <row r="441" spans="1:9">
      <c r="D441" s="1300"/>
      <c r="E441" s="1300"/>
      <c r="F441" s="1300"/>
      <c r="I441" s="490"/>
    </row>
    <row r="442" spans="1:9">
      <c r="D442" s="1300"/>
      <c r="E442" s="1300"/>
      <c r="F442" s="1300"/>
      <c r="I442" s="490"/>
    </row>
    <row r="443" spans="1:9">
      <c r="D443" s="1300"/>
      <c r="E443" s="1300"/>
      <c r="F443" s="1300"/>
      <c r="I443" s="490"/>
    </row>
    <row r="444" spans="1:9">
      <c r="D444" s="1300"/>
      <c r="E444" s="1300"/>
      <c r="F444" s="1300"/>
      <c r="I444" s="490"/>
    </row>
    <row r="445" spans="1:9">
      <c r="D445" s="1300"/>
      <c r="E445" s="1300"/>
      <c r="F445" s="1300"/>
      <c r="I445" s="490"/>
    </row>
    <row r="446" spans="1:9">
      <c r="D446" s="1300"/>
      <c r="E446" s="1300"/>
      <c r="F446" s="1300"/>
      <c r="I446" s="490"/>
    </row>
    <row r="447" spans="1:9">
      <c r="D447" s="1300"/>
      <c r="E447" s="1300"/>
      <c r="F447" s="1300"/>
      <c r="I447" s="490"/>
    </row>
    <row r="448" spans="1:9">
      <c r="A448" s="402"/>
      <c r="B448" s="402"/>
      <c r="C448" s="402"/>
      <c r="D448" s="1300"/>
      <c r="E448" s="1300"/>
      <c r="F448" s="1300"/>
      <c r="I448" s="490"/>
    </row>
    <row r="449" spans="1:9">
      <c r="A449" s="402"/>
      <c r="B449" s="402"/>
      <c r="C449" s="402"/>
      <c r="D449" s="1300"/>
      <c r="E449" s="1300"/>
      <c r="F449" s="1300"/>
      <c r="I449" s="490"/>
    </row>
    <row r="450" spans="1:9">
      <c r="A450" s="402"/>
      <c r="B450" s="402"/>
      <c r="C450" s="402"/>
      <c r="D450" s="1300"/>
      <c r="E450" s="1300"/>
      <c r="F450" s="1300"/>
      <c r="I450" s="490"/>
    </row>
    <row r="451" spans="1:9">
      <c r="A451" s="402"/>
      <c r="B451" s="402"/>
      <c r="C451" s="402"/>
      <c r="D451" s="1300"/>
      <c r="E451" s="1300"/>
      <c r="F451" s="1300"/>
      <c r="I451" s="490"/>
    </row>
    <row r="452" spans="1:9">
      <c r="A452" s="402"/>
      <c r="B452" s="402"/>
      <c r="C452" s="402"/>
      <c r="D452" s="1300"/>
      <c r="E452" s="1300"/>
      <c r="F452" s="1300"/>
      <c r="I452" s="490"/>
    </row>
    <row r="453" spans="1:9">
      <c r="A453" s="402"/>
      <c r="B453" s="402"/>
      <c r="C453" s="402"/>
      <c r="D453" s="1300"/>
      <c r="E453" s="1300"/>
      <c r="F453" s="1300"/>
      <c r="I453" s="490"/>
    </row>
    <row r="454" spans="1:9">
      <c r="A454" s="402"/>
      <c r="B454" s="402"/>
      <c r="C454" s="402"/>
      <c r="D454" s="1300"/>
      <c r="E454" s="1300"/>
      <c r="F454" s="1300"/>
      <c r="I454" s="490"/>
    </row>
    <row r="455" spans="1:9">
      <c r="A455" s="402"/>
      <c r="B455" s="402"/>
      <c r="C455" s="402"/>
      <c r="D455" s="1300"/>
      <c r="E455" s="1300"/>
      <c r="F455" s="1300"/>
      <c r="I455" s="490"/>
    </row>
    <row r="456" spans="1:9">
      <c r="A456" s="402"/>
      <c r="B456" s="402"/>
      <c r="C456" s="402"/>
      <c r="D456" s="1300"/>
      <c r="E456" s="1300"/>
      <c r="F456" s="1300"/>
      <c r="I456" s="490"/>
    </row>
    <row r="457" spans="1:9">
      <c r="A457" s="402"/>
      <c r="B457" s="402"/>
      <c r="C457" s="402"/>
      <c r="D457" s="1300"/>
      <c r="E457" s="1300"/>
      <c r="F457" s="1300"/>
      <c r="I457" s="490"/>
    </row>
    <row r="458" spans="1:9">
      <c r="A458" s="402"/>
      <c r="B458" s="402"/>
      <c r="C458" s="402"/>
      <c r="D458" s="1300"/>
      <c r="E458" s="1300"/>
      <c r="F458" s="1300"/>
      <c r="I458" s="490"/>
    </row>
    <row r="459" spans="1:9">
      <c r="A459" s="402"/>
      <c r="B459" s="402"/>
      <c r="C459" s="402"/>
      <c r="D459" s="1300"/>
      <c r="E459" s="1300"/>
      <c r="F459" s="1300"/>
      <c r="I459" s="490"/>
    </row>
    <row r="460" spans="1:9">
      <c r="A460" s="402"/>
      <c r="B460" s="402"/>
      <c r="C460" s="402"/>
      <c r="D460" s="1300"/>
      <c r="E460" s="1300"/>
      <c r="F460" s="1300"/>
      <c r="I460" s="490"/>
    </row>
    <row r="461" spans="1:9">
      <c r="A461" s="402"/>
      <c r="B461" s="402"/>
      <c r="C461" s="402"/>
      <c r="D461" s="1300"/>
      <c r="E461" s="1300"/>
      <c r="F461" s="1300"/>
      <c r="I461" s="490"/>
    </row>
    <row r="462" spans="1:9">
      <c r="A462" s="402"/>
      <c r="B462" s="402"/>
      <c r="C462" s="402"/>
      <c r="D462" s="1300"/>
      <c r="E462" s="1300"/>
      <c r="F462" s="1300"/>
      <c r="I462" s="490"/>
    </row>
    <row r="463" spans="1:9">
      <c r="A463" s="402"/>
      <c r="B463" s="402"/>
      <c r="C463" s="402"/>
      <c r="D463" s="1300"/>
      <c r="E463" s="1300"/>
      <c r="F463" s="1300"/>
      <c r="I463" s="490"/>
    </row>
    <row r="464" spans="1:9">
      <c r="D464" s="1300"/>
      <c r="E464" s="1300"/>
      <c r="F464" s="1300"/>
      <c r="I464" s="490"/>
    </row>
    <row r="465" spans="1:9" ht="40.700000000000003" customHeight="1">
      <c r="D465" s="1300"/>
      <c r="E465" s="1300"/>
      <c r="F465" s="1300"/>
      <c r="I465" s="490"/>
    </row>
    <row r="466" spans="1:9">
      <c r="D466" s="446"/>
      <c r="E466" s="446"/>
      <c r="F466" s="446"/>
      <c r="I466" s="490"/>
    </row>
    <row r="467" spans="1:9" ht="14.25">
      <c r="A467" s="484"/>
      <c r="B467" s="485" t="s">
        <v>2615</v>
      </c>
      <c r="C467" s="487"/>
      <c r="D467" s="1300" t="s">
        <v>1136</v>
      </c>
      <c r="E467" s="1300"/>
      <c r="F467" s="1300"/>
      <c r="I467" s="490"/>
    </row>
    <row r="468" spans="1:9">
      <c r="D468" s="1300"/>
      <c r="E468" s="1300"/>
      <c r="F468" s="1300"/>
      <c r="I468" s="490"/>
    </row>
    <row r="469" spans="1:9">
      <c r="D469" s="1300"/>
      <c r="E469" s="1300"/>
      <c r="F469" s="1300"/>
      <c r="I469" s="490"/>
    </row>
    <row r="470" spans="1:9">
      <c r="D470" s="445"/>
      <c r="E470" s="445"/>
      <c r="F470" s="445"/>
      <c r="I470" s="490"/>
    </row>
    <row r="471" spans="1:9" ht="14.25">
      <c r="B471" s="485" t="s">
        <v>2615</v>
      </c>
      <c r="C471" s="484"/>
      <c r="D471" s="1300" t="s">
        <v>1196</v>
      </c>
      <c r="E471" s="1300"/>
      <c r="F471" s="1300"/>
      <c r="I471" s="490"/>
    </row>
    <row r="472" spans="1:9">
      <c r="D472" s="1300"/>
      <c r="E472" s="1300"/>
      <c r="F472" s="1300"/>
      <c r="I472" s="490"/>
    </row>
    <row r="473" spans="1:9">
      <c r="D473" s="446"/>
      <c r="E473" s="446"/>
      <c r="F473" s="446"/>
      <c r="I473" s="490"/>
    </row>
    <row r="474" spans="1:9" ht="14.25">
      <c r="B474" s="485" t="s">
        <v>2615</v>
      </c>
      <c r="C474" s="484"/>
      <c r="D474" s="1300" t="s">
        <v>1137</v>
      </c>
      <c r="E474" s="1300"/>
      <c r="F474" s="1300"/>
      <c r="I474" s="490"/>
    </row>
    <row r="475" spans="1:9">
      <c r="D475" s="1300"/>
      <c r="E475" s="1300"/>
      <c r="F475" s="1300"/>
      <c r="I475" s="490"/>
    </row>
    <row r="476" spans="1:9">
      <c r="D476" s="1300"/>
      <c r="E476" s="1300"/>
      <c r="F476" s="1300"/>
      <c r="I476" s="490"/>
    </row>
    <row r="477" spans="1:9">
      <c r="D477" s="1300"/>
      <c r="E477" s="1300"/>
      <c r="F477" s="1300"/>
      <c r="I477" s="490"/>
    </row>
    <row r="478" spans="1:9">
      <c r="B478" s="485" t="s">
        <v>2615</v>
      </c>
      <c r="D478" s="1300"/>
      <c r="E478" s="1300"/>
      <c r="F478" s="1300"/>
      <c r="I478" s="490"/>
    </row>
    <row r="479" spans="1:9">
      <c r="A479" s="402"/>
      <c r="B479" s="402"/>
      <c r="C479" s="402"/>
      <c r="D479" s="1300"/>
      <c r="E479" s="1300"/>
      <c r="F479" s="1300"/>
      <c r="I479" s="490"/>
    </row>
    <row r="480" spans="1:9">
      <c r="A480" s="402"/>
      <c r="C480" s="402"/>
      <c r="D480" s="1300"/>
      <c r="E480" s="1300"/>
      <c r="F480" s="1300"/>
      <c r="I480" s="490"/>
    </row>
    <row r="481" spans="1:9">
      <c r="A481" s="402"/>
      <c r="B481" s="485" t="s">
        <v>2615</v>
      </c>
      <c r="C481" s="402"/>
      <c r="D481" s="1300"/>
      <c r="E481" s="1300"/>
      <c r="F481" s="1300"/>
      <c r="I481" s="490"/>
    </row>
    <row r="482" spans="1:9">
      <c r="A482" s="402"/>
      <c r="B482" s="402"/>
      <c r="C482" s="402"/>
      <c r="D482" s="1300"/>
      <c r="E482" s="1300"/>
      <c r="F482" s="1300"/>
      <c r="I482" s="490"/>
    </row>
    <row r="483" spans="1:9">
      <c r="A483" s="402"/>
      <c r="C483" s="402"/>
      <c r="D483" s="1300"/>
      <c r="E483" s="1300"/>
      <c r="F483" s="1300"/>
      <c r="I483" s="490"/>
    </row>
    <row r="484" spans="1:9">
      <c r="A484" s="402"/>
      <c r="C484" s="402"/>
      <c r="D484" s="1300"/>
      <c r="E484" s="1300"/>
      <c r="F484" s="1300"/>
      <c r="I484" s="490"/>
    </row>
    <row r="485" spans="1:9">
      <c r="A485" s="402"/>
      <c r="C485" s="402"/>
      <c r="D485" s="1300"/>
      <c r="E485" s="1300"/>
      <c r="F485" s="1300"/>
      <c r="I485" s="490"/>
    </row>
    <row r="486" spans="1:9">
      <c r="A486" s="402"/>
      <c r="B486" s="485" t="s">
        <v>2615</v>
      </c>
      <c r="C486" s="402"/>
      <c r="D486" s="1300"/>
      <c r="E486" s="1300"/>
      <c r="F486" s="1300"/>
      <c r="I486" s="490"/>
    </row>
    <row r="487" spans="1:9">
      <c r="A487" s="402"/>
      <c r="C487" s="402"/>
      <c r="D487" s="1300"/>
      <c r="E487" s="1300"/>
      <c r="F487" s="1300"/>
      <c r="I487" s="490"/>
    </row>
    <row r="488" spans="1:9">
      <c r="A488" s="402"/>
      <c r="B488" s="485" t="s">
        <v>2615</v>
      </c>
      <c r="C488" s="402"/>
      <c r="D488" s="1300" t="s">
        <v>1138</v>
      </c>
      <c r="E488" s="1300"/>
      <c r="F488" s="1300"/>
      <c r="I488" s="490"/>
    </row>
    <row r="489" spans="1:9">
      <c r="A489" s="402"/>
      <c r="B489" s="402"/>
      <c r="C489" s="402"/>
      <c r="D489" s="1300"/>
      <c r="E489" s="1300"/>
      <c r="F489" s="1300"/>
      <c r="I489" s="490"/>
    </row>
    <row r="490" spans="1:9">
      <c r="A490" s="402"/>
      <c r="B490" s="402"/>
      <c r="C490" s="402"/>
      <c r="D490" s="1300"/>
      <c r="E490" s="1300"/>
      <c r="F490" s="1300"/>
      <c r="I490" s="490"/>
    </row>
    <row r="491" spans="1:9">
      <c r="A491" s="402"/>
      <c r="B491" s="402"/>
      <c r="C491" s="402"/>
      <c r="D491" s="1300"/>
      <c r="E491" s="1300"/>
      <c r="F491" s="1300"/>
      <c r="I491" s="490"/>
    </row>
    <row r="492" spans="1:9">
      <c r="D492" s="1300"/>
      <c r="E492" s="1300"/>
      <c r="F492" s="1300"/>
      <c r="I492" s="490"/>
    </row>
    <row r="493" spans="1:9">
      <c r="D493" s="446"/>
      <c r="E493" s="446"/>
      <c r="F493" s="446"/>
      <c r="I493" s="490"/>
    </row>
    <row r="494" spans="1:9">
      <c r="B494" s="485" t="s">
        <v>2615</v>
      </c>
      <c r="D494" s="1298" t="s">
        <v>1139</v>
      </c>
      <c r="E494" s="1298"/>
      <c r="F494" s="1298"/>
      <c r="I494" s="490"/>
    </row>
    <row r="495" spans="1:9">
      <c r="A495" s="446"/>
      <c r="B495" s="446"/>
      <c r="I495" s="490"/>
    </row>
    <row r="496" spans="1:9">
      <c r="A496" s="1307" t="s">
        <v>1049</v>
      </c>
      <c r="B496" s="1307"/>
      <c r="C496" s="1307"/>
      <c r="D496" s="1307"/>
      <c r="E496" s="1307"/>
      <c r="F496" s="1307"/>
      <c r="G496" s="1307"/>
      <c r="H496" s="1027"/>
      <c r="I496" s="1152"/>
    </row>
    <row r="497" spans="1:9">
      <c r="A497" s="446"/>
      <c r="B497" s="446"/>
      <c r="I497" s="490"/>
    </row>
    <row r="498" spans="1:9">
      <c r="D498" s="1326" t="s">
        <v>883</v>
      </c>
      <c r="E498" s="1326"/>
      <c r="F498" s="1326"/>
      <c r="I498" s="490"/>
    </row>
    <row r="499" spans="1:9" ht="14.25">
      <c r="A499" s="484"/>
      <c r="B499" s="484"/>
      <c r="D499" s="1317" t="s">
        <v>1140</v>
      </c>
      <c r="E499" s="1317"/>
      <c r="F499" s="1317"/>
      <c r="I499" s="490"/>
    </row>
    <row r="500" spans="1:9" ht="14.25">
      <c r="A500" s="484"/>
      <c r="B500" s="484"/>
      <c r="D500" s="447"/>
      <c r="I500" s="490"/>
    </row>
    <row r="501" spans="1:9" ht="14.25">
      <c r="A501" s="484"/>
      <c r="B501" s="485" t="s">
        <v>2615</v>
      </c>
      <c r="D501" s="1271" t="s">
        <v>1141</v>
      </c>
      <c r="E501" s="1271"/>
      <c r="F501" s="1271"/>
      <c r="I501" s="490"/>
    </row>
    <row r="502" spans="1:9" ht="14.25">
      <c r="A502" s="484"/>
      <c r="B502" s="484"/>
      <c r="D502" s="1271"/>
      <c r="E502" s="1271"/>
      <c r="F502" s="1271"/>
      <c r="I502" s="490"/>
    </row>
    <row r="503" spans="1:9" ht="14.25">
      <c r="A503" s="484"/>
      <c r="B503" s="484"/>
      <c r="D503" s="446"/>
      <c r="I503" s="490"/>
    </row>
    <row r="504" spans="1:9" ht="12.75" customHeight="1">
      <c r="B504" s="485" t="s">
        <v>2615</v>
      </c>
      <c r="D504" s="1312" t="s">
        <v>1272</v>
      </c>
      <c r="E504" s="1312"/>
      <c r="F504" s="1312"/>
      <c r="I504" s="490"/>
    </row>
    <row r="505" spans="1:9" ht="14.25">
      <c r="A505" s="484"/>
      <c r="D505" s="1312"/>
      <c r="E505" s="1312"/>
      <c r="F505" s="1312"/>
      <c r="I505" s="490"/>
    </row>
    <row r="506" spans="1:9" ht="14.25">
      <c r="A506" s="484"/>
      <c r="B506" s="484"/>
      <c r="D506" s="1312"/>
      <c r="E506" s="1312"/>
      <c r="F506" s="1312"/>
      <c r="I506" s="490"/>
    </row>
    <row r="507" spans="1:9" ht="14.25">
      <c r="A507" s="484"/>
      <c r="B507" s="484"/>
      <c r="D507" s="1312"/>
      <c r="E507" s="1312"/>
      <c r="F507" s="1312"/>
      <c r="I507" s="490"/>
    </row>
    <row r="508" spans="1:9" ht="14.25">
      <c r="A508" s="484"/>
      <c r="D508" s="520"/>
      <c r="E508" s="520"/>
      <c r="F508" s="520"/>
      <c r="I508" s="490"/>
    </row>
    <row r="509" spans="1:9" ht="14.25">
      <c r="A509" s="484"/>
      <c r="B509" s="485" t="s">
        <v>2615</v>
      </c>
      <c r="D509" s="1298" t="s">
        <v>1142</v>
      </c>
      <c r="E509" s="1298"/>
      <c r="F509" s="1298"/>
      <c r="I509" s="490"/>
    </row>
    <row r="510" spans="1:9" ht="14.25">
      <c r="A510" s="484"/>
      <c r="B510" s="484"/>
      <c r="D510" s="446"/>
      <c r="I510" s="490"/>
    </row>
    <row r="511" spans="1:9" ht="14.25">
      <c r="A511" s="484"/>
      <c r="B511" s="485" t="s">
        <v>2615</v>
      </c>
      <c r="D511" s="1300" t="s">
        <v>1143</v>
      </c>
      <c r="E511" s="1300"/>
      <c r="F511" s="1300"/>
      <c r="I511" s="490"/>
    </row>
    <row r="512" spans="1:9" ht="14.25">
      <c r="A512" s="484"/>
      <c r="D512" s="1300"/>
      <c r="E512" s="1300"/>
      <c r="F512" s="1300"/>
      <c r="I512" s="490"/>
    </row>
    <row r="513" spans="1:9">
      <c r="A513" s="490"/>
      <c r="B513" s="490"/>
      <c r="D513" s="447"/>
      <c r="I513" s="490"/>
    </row>
    <row r="514" spans="1:9">
      <c r="A514" s="490"/>
      <c r="B514" s="485" t="s">
        <v>2615</v>
      </c>
      <c r="D514" s="1298" t="s">
        <v>1144</v>
      </c>
      <c r="E514" s="1298"/>
      <c r="F514" s="1298"/>
      <c r="I514" s="490"/>
    </row>
    <row r="515" spans="1:9">
      <c r="D515" s="446"/>
      <c r="E515" s="446"/>
      <c r="F515" s="446"/>
      <c r="I515" s="490"/>
    </row>
    <row r="516" spans="1:9">
      <c r="B516" s="485" t="s">
        <v>2615</v>
      </c>
      <c r="D516" s="1300" t="s">
        <v>2280</v>
      </c>
      <c r="E516" s="1300"/>
      <c r="F516" s="1300"/>
      <c r="I516" s="490"/>
    </row>
    <row r="517" spans="1:9">
      <c r="D517" s="1300"/>
      <c r="E517" s="1300"/>
      <c r="F517" s="1300"/>
      <c r="I517" s="490"/>
    </row>
    <row r="518" spans="1:9">
      <c r="D518" s="1300"/>
      <c r="E518" s="1300"/>
      <c r="F518" s="1300"/>
      <c r="I518" s="490"/>
    </row>
    <row r="519" spans="1:9">
      <c r="D519" s="446"/>
      <c r="E519" s="446"/>
      <c r="F519" s="446"/>
      <c r="I519" s="490"/>
    </row>
    <row r="520" spans="1:9" ht="14.25">
      <c r="A520" s="484"/>
      <c r="B520" s="484"/>
      <c r="D520" s="446"/>
      <c r="I520" s="490"/>
    </row>
    <row r="521" spans="1:9">
      <c r="A521" s="1307" t="s">
        <v>1050</v>
      </c>
      <c r="B521" s="1307"/>
      <c r="C521" s="1307"/>
      <c r="D521" s="1307"/>
      <c r="E521" s="1307"/>
      <c r="F521" s="1307"/>
      <c r="G521" s="1307"/>
      <c r="H521" s="1027"/>
      <c r="I521" s="1152"/>
    </row>
    <row r="522" spans="1:9" ht="12" customHeight="1">
      <c r="A522" s="484"/>
      <c r="B522" s="484"/>
      <c r="D522" s="446"/>
      <c r="I522" s="490"/>
    </row>
    <row r="523" spans="1:9">
      <c r="C523" s="482"/>
      <c r="D523" s="1308" t="s">
        <v>793</v>
      </c>
      <c r="E523" s="1308"/>
      <c r="F523" s="1308"/>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 customHeight="1">
      <c r="A527" s="483"/>
      <c r="B527" s="485" t="s">
        <v>2614</v>
      </c>
      <c r="C527" s="483"/>
      <c r="D527" s="1271" t="s">
        <v>2059</v>
      </c>
      <c r="E527" s="1271"/>
      <c r="F527" s="1271"/>
      <c r="I527" s="490"/>
    </row>
    <row r="528" spans="1:9">
      <c r="A528" s="483"/>
      <c r="B528" s="483"/>
      <c r="C528" s="483"/>
      <c r="D528" s="1271"/>
      <c r="E528" s="1271"/>
      <c r="F528" s="1271"/>
      <c r="I528" s="490"/>
    </row>
    <row r="529" spans="1:9">
      <c r="A529" s="483"/>
      <c r="B529" s="483"/>
      <c r="C529" s="483"/>
      <c r="D529" s="451"/>
      <c r="E529" s="451"/>
      <c r="F529" s="451"/>
      <c r="I529" s="480"/>
    </row>
    <row r="530" spans="1:9" ht="12.75" customHeight="1">
      <c r="A530" s="483"/>
      <c r="B530" s="485" t="s">
        <v>2615</v>
      </c>
      <c r="D530" s="386" t="s">
        <v>1903</v>
      </c>
      <c r="E530" s="385"/>
      <c r="F530" s="385"/>
      <c r="I530" s="490"/>
    </row>
    <row r="531" spans="1:9">
      <c r="A531" s="483"/>
      <c r="B531" s="483"/>
      <c r="C531" s="483"/>
      <c r="D531" s="385"/>
      <c r="E531" s="96" t="s">
        <v>1904</v>
      </c>
      <c r="I531" s="490"/>
    </row>
    <row r="532" spans="1:9">
      <c r="A532" s="483"/>
      <c r="B532" s="483"/>
      <c r="D532" s="1279" t="s">
        <v>2060</v>
      </c>
      <c r="E532" s="1279"/>
      <c r="F532" s="1279"/>
      <c r="I532" s="490"/>
    </row>
    <row r="533" spans="1:9">
      <c r="A533" s="483"/>
      <c r="B533" s="483"/>
      <c r="D533" s="1279"/>
      <c r="E533" s="1279"/>
      <c r="F533" s="1279"/>
      <c r="I533" s="490"/>
    </row>
    <row r="534" spans="1:9">
      <c r="A534" s="483"/>
      <c r="B534" s="483"/>
      <c r="C534" s="483"/>
      <c r="D534" s="1279"/>
      <c r="E534" s="1279"/>
      <c r="F534" s="1279"/>
      <c r="I534" s="490"/>
    </row>
    <row r="535" spans="1:9">
      <c r="A535" s="483"/>
      <c r="B535" s="483"/>
      <c r="C535" s="483"/>
      <c r="D535" s="498"/>
      <c r="F535" s="446"/>
      <c r="I535" s="490"/>
    </row>
    <row r="536" spans="1:9" ht="13.15" customHeight="1">
      <c r="A536" s="483"/>
      <c r="B536" s="485" t="s">
        <v>2615</v>
      </c>
      <c r="C536" s="483"/>
      <c r="D536" s="1300" t="s">
        <v>2061</v>
      </c>
      <c r="E536" s="1300"/>
      <c r="F536" s="1300"/>
      <c r="I536" s="490"/>
    </row>
    <row r="537" spans="1:9">
      <c r="A537" s="483"/>
      <c r="B537" s="483"/>
      <c r="C537" s="483"/>
      <c r="D537" s="1300"/>
      <c r="E537" s="1300"/>
      <c r="F537" s="1300"/>
      <c r="I537" s="490"/>
    </row>
    <row r="538" spans="1:9" ht="12" customHeight="1">
      <c r="A538" s="446"/>
      <c r="B538" s="446"/>
      <c r="C538" s="487"/>
      <c r="D538" s="446"/>
      <c r="F538" s="448"/>
      <c r="I538" s="490"/>
    </row>
    <row r="539" spans="1:9">
      <c r="A539" s="1307" t="s">
        <v>1051</v>
      </c>
      <c r="B539" s="1307"/>
      <c r="C539" s="1307"/>
      <c r="D539" s="1307"/>
      <c r="E539" s="1307"/>
      <c r="F539" s="1307"/>
      <c r="G539" s="1307"/>
      <c r="H539" s="1027"/>
      <c r="I539" s="1152"/>
    </row>
    <row r="540" spans="1:9">
      <c r="A540" s="446"/>
      <c r="B540" s="446"/>
      <c r="C540" s="487"/>
      <c r="F540" s="448"/>
      <c r="I540" s="490"/>
    </row>
    <row r="541" spans="1:9">
      <c r="B541" s="1302" t="s">
        <v>446</v>
      </c>
      <c r="C541" s="1302"/>
      <c r="D541" s="1302"/>
      <c r="E541" s="1302"/>
      <c r="F541" s="1302"/>
      <c r="I541" s="490"/>
    </row>
    <row r="542" spans="1:9">
      <c r="A542" s="446"/>
      <c r="B542" s="446"/>
      <c r="C542" s="487"/>
      <c r="D542" s="446"/>
      <c r="F542" s="446"/>
      <c r="I542" s="490"/>
    </row>
    <row r="543" spans="1:9">
      <c r="A543" s="1299" t="s">
        <v>1052</v>
      </c>
      <c r="B543" s="1299"/>
      <c r="C543" s="1299"/>
      <c r="D543" s="1299"/>
      <c r="E543" s="1299"/>
      <c r="F543" s="1299"/>
      <c r="G543" s="1299"/>
      <c r="H543" s="1027"/>
      <c r="I543" s="1152"/>
    </row>
    <row r="544" spans="1:9">
      <c r="A544" s="446"/>
      <c r="B544" s="446"/>
      <c r="C544" s="487"/>
      <c r="D544" s="446"/>
      <c r="F544" s="446"/>
      <c r="I544" s="490"/>
    </row>
    <row r="545" spans="1:9">
      <c r="C545" s="487"/>
      <c r="D545" s="1308" t="s">
        <v>683</v>
      </c>
      <c r="E545" s="1308"/>
      <c r="F545" s="1308"/>
      <c r="I545" s="490"/>
    </row>
    <row r="546" spans="1:9">
      <c r="C546" s="487"/>
      <c r="D546" s="1298" t="s">
        <v>1080</v>
      </c>
      <c r="E546" s="1298"/>
      <c r="F546" s="1298"/>
      <c r="I546" s="490"/>
    </row>
    <row r="547" spans="1:9">
      <c r="C547" s="487"/>
      <c r="D547" s="446"/>
      <c r="E547" s="446"/>
      <c r="F547" s="446"/>
      <c r="I547" s="490"/>
    </row>
    <row r="548" spans="1:9" ht="13.7" customHeight="1">
      <c r="A548" s="484"/>
      <c r="B548" s="485" t="s">
        <v>2614</v>
      </c>
      <c r="C548" s="487"/>
      <c r="D548" s="1298" t="s">
        <v>884</v>
      </c>
      <c r="E548" s="1298"/>
      <c r="F548" s="1298"/>
      <c r="I548" s="490"/>
    </row>
    <row r="549" spans="1:9" ht="13.7" customHeight="1">
      <c r="A549" s="487"/>
      <c r="B549" s="487"/>
      <c r="C549" s="487"/>
      <c r="D549" s="446"/>
      <c r="I549" s="490"/>
    </row>
    <row r="550" spans="1:9" ht="14.25">
      <c r="A550" s="484"/>
      <c r="B550" s="485" t="s">
        <v>2614</v>
      </c>
      <c r="C550" s="487"/>
      <c r="D550" s="1300" t="s">
        <v>1081</v>
      </c>
      <c r="E550" s="1300"/>
      <c r="F550" s="1300"/>
      <c r="I550" s="490"/>
    </row>
    <row r="551" spans="1:9">
      <c r="A551" s="487"/>
      <c r="B551" s="487"/>
      <c r="C551" s="487"/>
      <c r="D551" s="1300"/>
      <c r="E551" s="1300"/>
      <c r="F551" s="1300"/>
      <c r="I551" s="490"/>
    </row>
    <row r="552" spans="1:9">
      <c r="A552" s="487"/>
      <c r="B552" s="487"/>
      <c r="C552" s="487"/>
      <c r="D552" s="446"/>
      <c r="E552" s="446"/>
      <c r="F552" s="446"/>
      <c r="I552" s="490"/>
    </row>
    <row r="553" spans="1:9" ht="14.25">
      <c r="A553" s="484"/>
      <c r="B553" s="485" t="s">
        <v>2614</v>
      </c>
      <c r="C553" s="487"/>
      <c r="D553" s="1300" t="s">
        <v>1082</v>
      </c>
      <c r="E553" s="1300"/>
      <c r="F553" s="1300"/>
      <c r="I553" s="490"/>
    </row>
    <row r="554" spans="1:9">
      <c r="A554" s="487"/>
      <c r="B554" s="487"/>
      <c r="C554" s="487"/>
      <c r="D554" s="1300"/>
      <c r="E554" s="1300"/>
      <c r="F554" s="1300"/>
      <c r="I554" s="490"/>
    </row>
    <row r="555" spans="1:9">
      <c r="A555" s="487"/>
      <c r="B555" s="487"/>
      <c r="C555" s="487"/>
      <c r="D555" s="446"/>
      <c r="E555" s="446"/>
      <c r="F555" s="446"/>
      <c r="I555" s="490"/>
    </row>
    <row r="556" spans="1:9" ht="14.25">
      <c r="A556" s="484"/>
      <c r="B556" s="485" t="s">
        <v>2614</v>
      </c>
      <c r="C556" s="487"/>
      <c r="D556" s="1300" t="s">
        <v>1083</v>
      </c>
      <c r="E556" s="1300"/>
      <c r="F556" s="1300"/>
      <c r="I556" s="490"/>
    </row>
    <row r="557" spans="1:9">
      <c r="A557" s="487"/>
      <c r="B557" s="487"/>
      <c r="C557" s="487"/>
      <c r="D557" s="1300"/>
      <c r="E557" s="1300"/>
      <c r="F557" s="1300"/>
      <c r="I557" s="490"/>
    </row>
    <row r="558" spans="1:9">
      <c r="A558" s="487"/>
      <c r="B558" s="487"/>
      <c r="C558" s="487"/>
      <c r="D558" s="446"/>
      <c r="E558" s="446"/>
      <c r="F558" s="446"/>
      <c r="I558" s="490"/>
    </row>
    <row r="559" spans="1:9" ht="14.25">
      <c r="A559" s="484"/>
      <c r="B559" s="485" t="s">
        <v>2614</v>
      </c>
      <c r="C559" s="487"/>
      <c r="D559" s="1300" t="s">
        <v>1084</v>
      </c>
      <c r="E559" s="1300"/>
      <c r="F559" s="1300"/>
      <c r="I559" s="490"/>
    </row>
    <row r="560" spans="1:9">
      <c r="A560" s="487"/>
      <c r="B560" s="487"/>
      <c r="C560" s="487"/>
      <c r="D560" s="1300"/>
      <c r="E560" s="1300"/>
      <c r="F560" s="1300"/>
      <c r="I560" s="490"/>
    </row>
    <row r="561" spans="1:9">
      <c r="A561" s="487"/>
      <c r="B561" s="487"/>
      <c r="C561" s="487"/>
      <c r="D561" s="1300"/>
      <c r="E561" s="1300"/>
      <c r="F561" s="1300"/>
      <c r="I561" s="490"/>
    </row>
    <row r="562" spans="1:9">
      <c r="A562" s="487"/>
      <c r="B562" s="487"/>
      <c r="C562" s="487"/>
      <c r="D562" s="446"/>
      <c r="E562" s="446"/>
      <c r="F562" s="446"/>
      <c r="I562" s="490"/>
    </row>
    <row r="563" spans="1:9" ht="14.25">
      <c r="A563" s="484"/>
      <c r="B563" s="485" t="s">
        <v>2615</v>
      </c>
      <c r="C563" s="487"/>
      <c r="D563" s="1300" t="s">
        <v>2247</v>
      </c>
      <c r="E563" s="1300"/>
      <c r="F563" s="1300"/>
      <c r="I563" s="490"/>
    </row>
    <row r="564" spans="1:9">
      <c r="A564" s="487"/>
      <c r="B564" s="487"/>
      <c r="C564" s="487"/>
      <c r="D564" s="1300"/>
      <c r="E564" s="1300"/>
      <c r="F564" s="1300"/>
      <c r="I564" s="490"/>
    </row>
    <row r="565" spans="1:9">
      <c r="A565" s="487"/>
      <c r="B565" s="487"/>
      <c r="C565" s="487"/>
      <c r="D565" s="446"/>
      <c r="E565" s="446"/>
      <c r="F565" s="446"/>
      <c r="I565" s="490"/>
    </row>
    <row r="566" spans="1:9" ht="14.25">
      <c r="A566" s="484"/>
      <c r="B566" s="485" t="s">
        <v>2614</v>
      </c>
      <c r="C566" s="487"/>
      <c r="D566" s="1300" t="s">
        <v>1085</v>
      </c>
      <c r="E566" s="1300"/>
      <c r="F566" s="1300"/>
      <c r="I566" s="490"/>
    </row>
    <row r="567" spans="1:9">
      <c r="A567" s="487"/>
      <c r="B567" s="487"/>
      <c r="C567" s="487"/>
      <c r="D567" s="1300"/>
      <c r="E567" s="1300"/>
      <c r="F567" s="1300"/>
      <c r="I567" s="490"/>
    </row>
    <row r="568" spans="1:9">
      <c r="A568" s="487"/>
      <c r="B568" s="487"/>
      <c r="C568" s="487"/>
      <c r="D568" s="446"/>
      <c r="E568" s="446"/>
      <c r="F568" s="446"/>
      <c r="I568" s="490"/>
    </row>
    <row r="569" spans="1:9" ht="14.25">
      <c r="A569" s="484"/>
      <c r="B569" s="485" t="s">
        <v>2614</v>
      </c>
      <c r="C569" s="487"/>
      <c r="D569" s="1298" t="s">
        <v>1086</v>
      </c>
      <c r="E569" s="1298"/>
      <c r="F569" s="1298"/>
      <c r="I569" s="490"/>
    </row>
    <row r="570" spans="1:9">
      <c r="A570" s="490"/>
      <c r="B570" s="490"/>
      <c r="C570" s="487"/>
      <c r="D570" s="1298" t="s">
        <v>1906</v>
      </c>
      <c r="E570" s="1298"/>
      <c r="F570" s="1298"/>
      <c r="I570" s="490"/>
    </row>
    <row r="571" spans="1:9">
      <c r="A571" s="490"/>
      <c r="B571" s="490"/>
      <c r="C571" s="487"/>
      <c r="E571" s="96" t="s">
        <v>1905</v>
      </c>
      <c r="F571" s="404"/>
      <c r="I571" s="490"/>
    </row>
    <row r="572" spans="1:9" ht="14.25">
      <c r="A572" s="484"/>
      <c r="B572" s="484"/>
      <c r="C572" s="487"/>
      <c r="E572" s="446"/>
      <c r="F572" s="446"/>
      <c r="I572" s="490"/>
    </row>
    <row r="573" spans="1:9" ht="14.25">
      <c r="A573" s="484"/>
      <c r="B573" s="485" t="s">
        <v>2614</v>
      </c>
      <c r="C573" s="487"/>
      <c r="D573" s="1298" t="s">
        <v>1087</v>
      </c>
      <c r="E573" s="1298"/>
      <c r="F573" s="1298"/>
      <c r="I573" s="490"/>
    </row>
    <row r="574" spans="1:9">
      <c r="C574" s="487"/>
      <c r="D574" s="1300" t="s">
        <v>1088</v>
      </c>
      <c r="E574" s="1300"/>
      <c r="F574" s="1300"/>
      <c r="I574" s="490"/>
    </row>
    <row r="575" spans="1:9">
      <c r="A575" s="487"/>
      <c r="B575" s="487"/>
      <c r="C575" s="487"/>
      <c r="D575" s="1300"/>
      <c r="E575" s="1300"/>
      <c r="F575" s="1300"/>
      <c r="I575" s="490"/>
    </row>
    <row r="576" spans="1:9">
      <c r="A576" s="487"/>
      <c r="B576" s="487"/>
      <c r="C576" s="487"/>
      <c r="D576" s="1300"/>
      <c r="E576" s="1300"/>
      <c r="F576" s="1300"/>
      <c r="I576" s="490"/>
    </row>
    <row r="577" spans="1:9">
      <c r="A577" s="487"/>
      <c r="B577" s="487"/>
      <c r="C577" s="487"/>
      <c r="D577" s="446"/>
      <c r="E577" s="446"/>
      <c r="F577" s="446"/>
      <c r="I577" s="490"/>
    </row>
    <row r="578" spans="1:9" ht="14.25">
      <c r="A578" s="484"/>
      <c r="B578" s="485" t="s">
        <v>2614</v>
      </c>
      <c r="C578" s="487"/>
      <c r="D578" s="1300" t="s">
        <v>2062</v>
      </c>
      <c r="E578" s="1300"/>
      <c r="F578" s="1300"/>
      <c r="I578" s="490"/>
    </row>
    <row r="579" spans="1:9" ht="14.25">
      <c r="A579" s="484"/>
      <c r="B579" s="484"/>
      <c r="C579" s="487"/>
      <c r="D579" s="1300"/>
      <c r="E579" s="1300"/>
      <c r="F579" s="1300"/>
      <c r="I579" s="490"/>
    </row>
    <row r="580" spans="1:9" ht="14.25">
      <c r="A580" s="484"/>
      <c r="B580" s="484"/>
      <c r="C580" s="487"/>
      <c r="D580" s="1300"/>
      <c r="E580" s="1300"/>
      <c r="F580" s="1300"/>
      <c r="I580" s="490"/>
    </row>
    <row r="581" spans="1:9" ht="14.25">
      <c r="A581" s="484"/>
      <c r="B581" s="484"/>
      <c r="C581" s="487"/>
      <c r="D581" s="1300"/>
      <c r="E581" s="1300"/>
      <c r="F581" s="1300"/>
      <c r="I581" s="490"/>
    </row>
    <row r="582" spans="1:9" ht="14.25">
      <c r="A582" s="484"/>
      <c r="B582" s="484"/>
      <c r="C582" s="487"/>
      <c r="D582" s="446"/>
      <c r="E582" s="446"/>
      <c r="F582" s="446"/>
      <c r="I582" s="490"/>
    </row>
    <row r="583" spans="1:9">
      <c r="A583" s="1307" t="s">
        <v>1053</v>
      </c>
      <c r="B583" s="1307"/>
      <c r="C583" s="1307"/>
      <c r="D583" s="1307"/>
      <c r="E583" s="1307"/>
      <c r="F583" s="1307"/>
      <c r="G583" s="1307"/>
      <c r="H583" s="1027"/>
      <c r="I583" s="1152"/>
    </row>
    <row r="584" spans="1:9">
      <c r="A584" s="487"/>
      <c r="B584" s="487"/>
      <c r="C584" s="487"/>
      <c r="E584" s="446"/>
      <c r="F584" s="446"/>
      <c r="I584" s="490"/>
    </row>
    <row r="585" spans="1:9" ht="12.75" customHeight="1">
      <c r="C585" s="482"/>
      <c r="D585" s="1316" t="s">
        <v>210</v>
      </c>
      <c r="E585" s="1316"/>
      <c r="F585" s="1316"/>
      <c r="I585" s="490"/>
    </row>
    <row r="586" spans="1:9">
      <c r="A586" s="483"/>
      <c r="B586" s="483"/>
      <c r="C586" s="483"/>
      <c r="D586" s="1312" t="s">
        <v>1066</v>
      </c>
      <c r="E586" s="1312"/>
      <c r="F586" s="1312"/>
      <c r="I586" s="490"/>
    </row>
    <row r="587" spans="1:9">
      <c r="A587" s="402"/>
      <c r="B587" s="402"/>
      <c r="C587" s="483"/>
      <c r="D587" s="499"/>
      <c r="I587" s="490"/>
    </row>
    <row r="588" spans="1:9">
      <c r="A588" s="483"/>
      <c r="B588" s="485" t="s">
        <v>2614</v>
      </c>
      <c r="D588" s="1312" t="s">
        <v>888</v>
      </c>
      <c r="E588" s="1312"/>
      <c r="F588" s="1312"/>
      <c r="I588" s="490"/>
    </row>
    <row r="589" spans="1:9">
      <c r="A589" s="490"/>
      <c r="B589" s="490"/>
      <c r="D589" s="476"/>
      <c r="I589" s="490"/>
    </row>
    <row r="590" spans="1:9">
      <c r="A590" s="490"/>
      <c r="B590" s="485" t="s">
        <v>2614</v>
      </c>
      <c r="D590" s="1312" t="s">
        <v>2063</v>
      </c>
      <c r="E590" s="1312"/>
      <c r="F590" s="1312"/>
      <c r="I590" s="490"/>
    </row>
    <row r="591" spans="1:9">
      <c r="A591" s="490"/>
      <c r="B591" s="490"/>
      <c r="D591" s="1312"/>
      <c r="E591" s="1312"/>
      <c r="F591" s="1312"/>
      <c r="I591" s="490"/>
    </row>
    <row r="592" spans="1:9">
      <c r="A592" s="490"/>
      <c r="B592" s="490"/>
      <c r="D592" s="1312"/>
      <c r="E592" s="1312"/>
      <c r="F592" s="1312"/>
      <c r="I592" s="490"/>
    </row>
    <row r="593" spans="1:9">
      <c r="A593" s="490"/>
      <c r="B593" s="490"/>
      <c r="D593" s="1312"/>
      <c r="E593" s="1312"/>
      <c r="F593" s="1312"/>
      <c r="I593" s="490"/>
    </row>
    <row r="594" spans="1:9">
      <c r="A594" s="490"/>
      <c r="B594" s="485" t="s">
        <v>2615</v>
      </c>
      <c r="D594" s="1312" t="s">
        <v>1067</v>
      </c>
      <c r="E594" s="1312"/>
      <c r="F594" s="1312"/>
      <c r="I594" s="490"/>
    </row>
    <row r="595" spans="1:9">
      <c r="A595" s="490"/>
      <c r="B595" s="490"/>
      <c r="D595" s="1312"/>
      <c r="E595" s="1312"/>
      <c r="F595" s="1312"/>
      <c r="I595" s="490"/>
    </row>
    <row r="596" spans="1:9">
      <c r="A596" s="490"/>
      <c r="B596" s="490"/>
      <c r="D596" s="1312"/>
      <c r="E596" s="1312"/>
      <c r="F596" s="1312"/>
      <c r="I596" s="490"/>
    </row>
    <row r="597" spans="1:9">
      <c r="A597" s="490"/>
      <c r="B597" s="490"/>
      <c r="D597" s="1312"/>
      <c r="E597" s="1312"/>
      <c r="F597" s="1312"/>
      <c r="I597" s="490"/>
    </row>
    <row r="598" spans="1:9">
      <c r="A598" s="490"/>
      <c r="B598" s="490"/>
      <c r="D598" s="440"/>
      <c r="E598" s="440"/>
      <c r="F598" s="440"/>
      <c r="I598" s="490"/>
    </row>
    <row r="599" spans="1:9">
      <c r="A599" s="490"/>
      <c r="B599" s="485" t="s">
        <v>2614</v>
      </c>
      <c r="D599" s="1312" t="s">
        <v>2064</v>
      </c>
      <c r="E599" s="1312"/>
      <c r="F599" s="1312"/>
      <c r="I599" s="490"/>
    </row>
    <row r="600" spans="1:9">
      <c r="A600" s="490"/>
      <c r="B600" s="490"/>
      <c r="D600" s="1312"/>
      <c r="E600" s="1312"/>
      <c r="F600" s="1312"/>
      <c r="I600" s="490"/>
    </row>
    <row r="601" spans="1:9">
      <c r="A601" s="490"/>
      <c r="B601" s="490"/>
      <c r="D601" s="499"/>
      <c r="I601" s="490"/>
    </row>
    <row r="602" spans="1:9">
      <c r="A602" s="490"/>
      <c r="B602" s="485" t="s">
        <v>2615</v>
      </c>
      <c r="D602" s="1312" t="s">
        <v>1068</v>
      </c>
      <c r="E602" s="1312"/>
      <c r="F602" s="1312"/>
      <c r="I602" s="490"/>
    </row>
    <row r="603" spans="1:9">
      <c r="A603" s="490"/>
      <c r="B603" s="490"/>
      <c r="D603" s="1312"/>
      <c r="E603" s="1312"/>
      <c r="F603" s="1312"/>
      <c r="I603" s="490"/>
    </row>
    <row r="604" spans="1:9" ht="14.25">
      <c r="A604" s="484"/>
      <c r="B604" s="484"/>
      <c r="D604" s="499"/>
      <c r="I604" s="490"/>
    </row>
    <row r="605" spans="1:9">
      <c r="A605" s="1307" t="s">
        <v>1054</v>
      </c>
      <c r="B605" s="1307"/>
      <c r="C605" s="1307"/>
      <c r="D605" s="1307"/>
      <c r="E605" s="1307"/>
      <c r="F605" s="1307"/>
      <c r="G605" s="1307"/>
      <c r="H605" s="1027"/>
      <c r="I605" s="1152"/>
    </row>
    <row r="606" spans="1:9">
      <c r="I606" s="490"/>
    </row>
    <row r="607" spans="1:9">
      <c r="D607" s="1308" t="s">
        <v>1106</v>
      </c>
      <c r="E607" s="1308"/>
      <c r="F607" s="1308"/>
      <c r="I607" s="490"/>
    </row>
    <row r="608" spans="1:9">
      <c r="D608" s="1280" t="s">
        <v>1107</v>
      </c>
      <c r="E608" s="1280"/>
      <c r="F608" s="1280"/>
      <c r="I608" s="490"/>
    </row>
    <row r="609" spans="1:9">
      <c r="D609" s="444"/>
      <c r="I609" s="490"/>
    </row>
    <row r="610" spans="1:9" ht="14.25" customHeight="1">
      <c r="A610" s="484"/>
      <c r="B610" s="485" t="s">
        <v>2614</v>
      </c>
      <c r="D610" s="1313" t="s">
        <v>1907</v>
      </c>
      <c r="E610" s="1313"/>
      <c r="F610" s="1313"/>
      <c r="I610" s="490"/>
    </row>
    <row r="611" spans="1:9">
      <c r="D611" s="1313"/>
      <c r="E611" s="1313"/>
      <c r="F611" s="1313"/>
      <c r="I611" s="490"/>
    </row>
    <row r="612" spans="1:9">
      <c r="D612" s="385"/>
      <c r="E612" s="1035" t="s">
        <v>1908</v>
      </c>
      <c r="F612" s="385"/>
      <c r="I612" s="490"/>
    </row>
    <row r="613" spans="1:9">
      <c r="I613" s="490"/>
    </row>
    <row r="614" spans="1:9">
      <c r="A614" s="1307" t="s">
        <v>1055</v>
      </c>
      <c r="B614" s="1307"/>
      <c r="C614" s="1307"/>
      <c r="D614" s="1307"/>
      <c r="E614" s="1307"/>
      <c r="F614" s="1307"/>
      <c r="G614" s="1307"/>
      <c r="H614" s="1027"/>
      <c r="I614" s="1152"/>
    </row>
    <row r="615" spans="1:9">
      <c r="A615" s="446"/>
      <c r="B615" s="446"/>
      <c r="I615" s="490"/>
    </row>
    <row r="616" spans="1:9">
      <c r="A616" s="482"/>
      <c r="B616" s="482"/>
      <c r="C616" s="482"/>
      <c r="D616" s="1297" t="s">
        <v>1108</v>
      </c>
      <c r="E616" s="1297"/>
      <c r="F616" s="1297"/>
      <c r="I616" s="490"/>
    </row>
    <row r="617" spans="1:9">
      <c r="A617" s="482"/>
      <c r="B617" s="482"/>
      <c r="C617" s="482"/>
      <c r="D617" s="1297"/>
      <c r="E617" s="1297"/>
      <c r="F617" s="1297"/>
      <c r="I617" s="490"/>
    </row>
    <row r="618" spans="1:9">
      <c r="C618" s="483"/>
      <c r="D618" s="1280" t="s">
        <v>1109</v>
      </c>
      <c r="E618" s="1280"/>
      <c r="F618" s="1280"/>
      <c r="I618" s="490"/>
    </row>
    <row r="619" spans="1:9">
      <c r="C619" s="483"/>
      <c r="D619" s="444"/>
      <c r="E619" s="444"/>
      <c r="F619" s="444"/>
      <c r="I619" s="490"/>
    </row>
    <row r="620" spans="1:9" ht="12.75" customHeight="1">
      <c r="A620" s="490"/>
      <c r="B620" s="485" t="s">
        <v>2614</v>
      </c>
      <c r="D620" s="1306" t="s">
        <v>1110</v>
      </c>
      <c r="E620" s="1306"/>
      <c r="F620" s="1306"/>
      <c r="I620" s="490"/>
    </row>
    <row r="621" spans="1:9">
      <c r="D621" s="1306"/>
      <c r="E621" s="1306"/>
      <c r="F621" s="1306"/>
      <c r="I621" s="490"/>
    </row>
    <row r="622" spans="1:9">
      <c r="I622" s="490"/>
    </row>
    <row r="623" spans="1:9">
      <c r="B623" s="485" t="s">
        <v>2614</v>
      </c>
      <c r="D623" s="1306" t="s">
        <v>1111</v>
      </c>
      <c r="E623" s="1306"/>
      <c r="F623" s="1306"/>
      <c r="I623" s="490"/>
    </row>
    <row r="624" spans="1:9">
      <c r="C624" s="500"/>
      <c r="D624" s="1306"/>
      <c r="E624" s="1306"/>
      <c r="F624" s="1306"/>
      <c r="I624" s="490"/>
    </row>
    <row r="625" spans="1:9">
      <c r="C625" s="500"/>
      <c r="I625" s="490"/>
    </row>
    <row r="626" spans="1:9">
      <c r="B626" s="485" t="s">
        <v>2615</v>
      </c>
      <c r="C626" s="500"/>
      <c r="D626" s="1306" t="s">
        <v>1112</v>
      </c>
      <c r="E626" s="1306"/>
      <c r="F626" s="1306"/>
      <c r="I626" s="490"/>
    </row>
    <row r="627" spans="1:9">
      <c r="C627" s="500"/>
      <c r="D627" s="1306"/>
      <c r="E627" s="1306"/>
      <c r="F627" s="1306"/>
      <c r="I627" s="500"/>
    </row>
    <row r="628" spans="1:9">
      <c r="C628" s="500"/>
      <c r="I628" s="490"/>
    </row>
    <row r="629" spans="1:9">
      <c r="A629" s="1307" t="s">
        <v>1056</v>
      </c>
      <c r="B629" s="1307"/>
      <c r="C629" s="1307"/>
      <c r="D629" s="1307"/>
      <c r="E629" s="1307"/>
      <c r="F629" s="1307"/>
      <c r="G629" s="1307"/>
      <c r="H629" s="1027"/>
      <c r="I629" s="1152"/>
    </row>
    <row r="630" spans="1:9">
      <c r="A630" s="482"/>
      <c r="B630" s="482"/>
      <c r="C630" s="482"/>
      <c r="I630" s="490"/>
    </row>
    <row r="631" spans="1:9">
      <c r="C631" s="490"/>
      <c r="D631" s="1308" t="s">
        <v>1113</v>
      </c>
      <c r="E631" s="1308"/>
      <c r="F631" s="1308"/>
      <c r="I631" s="490"/>
    </row>
    <row r="632" spans="1:9">
      <c r="A632" s="490"/>
      <c r="B632" s="490"/>
      <c r="D632" s="404"/>
      <c r="I632" s="490"/>
    </row>
    <row r="633" spans="1:9" ht="14.25" customHeight="1">
      <c r="A633" s="484"/>
      <c r="B633" s="485" t="s">
        <v>2614</v>
      </c>
      <c r="D633" s="1313" t="s">
        <v>2065</v>
      </c>
      <c r="E633" s="1313"/>
      <c r="F633" s="1313"/>
      <c r="I633" s="490"/>
    </row>
    <row r="634" spans="1:9">
      <c r="D634" s="1313"/>
      <c r="E634" s="1313"/>
      <c r="F634" s="1313"/>
      <c r="I634" s="490"/>
    </row>
    <row r="635" spans="1:9">
      <c r="D635" s="385"/>
      <c r="E635" s="1035" t="s">
        <v>1910</v>
      </c>
      <c r="F635" s="385"/>
      <c r="I635" s="490"/>
    </row>
    <row r="636" spans="1:9">
      <c r="D636" s="1300" t="s">
        <v>1909</v>
      </c>
      <c r="E636" s="1300"/>
      <c r="F636" s="1300"/>
      <c r="I636" s="490"/>
    </row>
    <row r="637" spans="1:9">
      <c r="D637" s="1300"/>
      <c r="E637" s="1300"/>
      <c r="F637" s="1300"/>
      <c r="I637" s="490"/>
    </row>
    <row r="638" spans="1:9">
      <c r="D638" s="1300"/>
      <c r="E638" s="1300"/>
      <c r="F638" s="1300"/>
      <c r="I638" s="490"/>
    </row>
    <row r="639" spans="1:9">
      <c r="D639" s="445"/>
      <c r="E639" s="445"/>
      <c r="F639" s="445"/>
      <c r="I639" s="490"/>
    </row>
    <row r="640" spans="1:9" ht="14.25">
      <c r="A640" s="484"/>
      <c r="B640" s="485" t="s">
        <v>2615</v>
      </c>
      <c r="D640" s="1300" t="s">
        <v>1114</v>
      </c>
      <c r="E640" s="1300"/>
      <c r="F640" s="1300"/>
      <c r="I640" s="490"/>
    </row>
    <row r="641" spans="1:9">
      <c r="A641" s="487"/>
      <c r="B641" s="487"/>
      <c r="C641" s="487"/>
      <c r="D641" s="1300"/>
      <c r="E641" s="1300"/>
      <c r="F641" s="1300"/>
      <c r="I641" s="490"/>
    </row>
    <row r="642" spans="1:9">
      <c r="A642" s="487"/>
      <c r="B642" s="487"/>
      <c r="C642" s="487"/>
      <c r="D642" s="446"/>
      <c r="E642" s="446"/>
      <c r="F642" s="446"/>
      <c r="I642" s="490"/>
    </row>
    <row r="643" spans="1:9" ht="14.25">
      <c r="A643" s="484"/>
      <c r="B643" s="485" t="s">
        <v>2615</v>
      </c>
      <c r="C643" s="487"/>
      <c r="D643" s="1300" t="s">
        <v>1224</v>
      </c>
      <c r="E643" s="1300"/>
      <c r="F643" s="1300"/>
      <c r="I643" s="490"/>
    </row>
    <row r="644" spans="1:9" ht="14.25">
      <c r="A644" s="484"/>
      <c r="B644" s="484"/>
      <c r="C644" s="487"/>
      <c r="D644" s="1300"/>
      <c r="E644" s="1300"/>
      <c r="F644" s="1300"/>
      <c r="I644" s="490"/>
    </row>
    <row r="645" spans="1:9" ht="14.25">
      <c r="A645" s="484"/>
      <c r="B645" s="484"/>
      <c r="C645" s="487"/>
      <c r="D645" s="1300"/>
      <c r="E645" s="1300"/>
      <c r="F645" s="1300"/>
      <c r="I645" s="490"/>
    </row>
    <row r="646" spans="1:9">
      <c r="A646" s="487"/>
      <c r="B646" s="485" t="s">
        <v>2615</v>
      </c>
      <c r="C646" s="487"/>
      <c r="D646" s="1298" t="s">
        <v>1115</v>
      </c>
      <c r="E646" s="1298"/>
      <c r="F646" s="1298"/>
      <c r="I646" s="490"/>
    </row>
    <row r="647" spans="1:9">
      <c r="A647" s="487"/>
      <c r="B647" s="487"/>
      <c r="C647" s="487"/>
      <c r="D647" s="446"/>
      <c r="E647" s="446"/>
      <c r="F647" s="446"/>
      <c r="I647" s="490"/>
    </row>
    <row r="648" spans="1:9">
      <c r="A648" s="1307" t="s">
        <v>1057</v>
      </c>
      <c r="B648" s="1307"/>
      <c r="C648" s="1307"/>
      <c r="D648" s="1307"/>
      <c r="E648" s="1307"/>
      <c r="F648" s="1307"/>
      <c r="G648" s="1307"/>
      <c r="H648" s="1027"/>
      <c r="I648" s="1152"/>
    </row>
    <row r="649" spans="1:9">
      <c r="A649" s="446"/>
      <c r="B649" s="446"/>
      <c r="C649" s="487"/>
      <c r="D649" s="446"/>
      <c r="E649" s="446"/>
      <c r="F649" s="446"/>
      <c r="I649" s="490"/>
    </row>
    <row r="650" spans="1:9">
      <c r="C650" s="482"/>
      <c r="D650" s="1308" t="s">
        <v>1145</v>
      </c>
      <c r="E650" s="1308"/>
      <c r="F650" s="1308"/>
      <c r="I650" s="490"/>
    </row>
    <row r="651" spans="1:9">
      <c r="A651" s="483"/>
      <c r="B651" s="483"/>
      <c r="C651" s="483"/>
      <c r="D651" s="1298" t="s">
        <v>1146</v>
      </c>
      <c r="E651" s="1298"/>
      <c r="F651" s="1298"/>
      <c r="I651" s="490"/>
    </row>
    <row r="652" spans="1:9">
      <c r="A652" s="483"/>
      <c r="B652" s="483"/>
      <c r="C652" s="483"/>
      <c r="D652" s="446"/>
      <c r="E652" s="446"/>
      <c r="F652" s="446"/>
      <c r="I652" s="490"/>
    </row>
    <row r="653" spans="1:9" ht="12.75" customHeight="1">
      <c r="B653" s="485" t="s">
        <v>2615</v>
      </c>
      <c r="C653" s="487"/>
      <c r="D653" s="1300" t="s">
        <v>1280</v>
      </c>
      <c r="E653" s="1300"/>
      <c r="F653" s="1300"/>
      <c r="I653" s="490"/>
    </row>
    <row r="654" spans="1:9">
      <c r="D654" s="1300"/>
      <c r="E654" s="1300"/>
      <c r="F654" s="1300"/>
      <c r="I654" s="490"/>
    </row>
    <row r="655" spans="1:9">
      <c r="D655" s="1300"/>
      <c r="E655" s="1300"/>
      <c r="F655" s="1300"/>
      <c r="I655" s="490"/>
    </row>
    <row r="656" spans="1:9">
      <c r="D656" s="1300"/>
      <c r="E656" s="1300"/>
      <c r="F656" s="1300"/>
      <c r="I656" s="490"/>
    </row>
    <row r="657" spans="1:9" ht="14.45" customHeight="1">
      <c r="A657" s="484"/>
      <c r="B657" s="484"/>
      <c r="C657" s="487"/>
      <c r="D657" s="385"/>
      <c r="E657" s="385"/>
      <c r="F657" s="385"/>
      <c r="I657" s="490"/>
    </row>
    <row r="658" spans="1:9" ht="12.75" customHeight="1">
      <c r="A658" s="483"/>
      <c r="B658" s="485" t="s">
        <v>2615</v>
      </c>
      <c r="C658" s="487"/>
      <c r="D658" s="1300" t="s">
        <v>1282</v>
      </c>
      <c r="E658" s="1300"/>
      <c r="F658" s="1300"/>
      <c r="I658" s="490"/>
    </row>
    <row r="659" spans="1:9" ht="14.25">
      <c r="A659" s="483"/>
      <c r="B659" s="484"/>
      <c r="C659" s="487"/>
      <c r="D659" s="1300"/>
      <c r="E659" s="1300"/>
      <c r="F659" s="1300"/>
      <c r="I659" s="490"/>
    </row>
    <row r="660" spans="1:9" ht="14.25">
      <c r="A660" s="483"/>
      <c r="B660" s="484"/>
      <c r="C660" s="487"/>
      <c r="D660" s="1300"/>
      <c r="E660" s="1300"/>
      <c r="F660" s="1300"/>
      <c r="I660" s="490"/>
    </row>
    <row r="661" spans="1:9" ht="14.25">
      <c r="A661" s="483"/>
      <c r="B661" s="484"/>
      <c r="C661" s="487"/>
      <c r="D661" s="1300"/>
      <c r="E661" s="1300"/>
      <c r="F661" s="1300"/>
      <c r="I661" s="490"/>
    </row>
    <row r="662" spans="1:9" ht="14.25">
      <c r="A662" s="483"/>
      <c r="B662" s="484"/>
      <c r="C662" s="487"/>
      <c r="D662" s="1300"/>
      <c r="E662" s="1300"/>
      <c r="F662" s="1300"/>
      <c r="I662" s="490"/>
    </row>
    <row r="663" spans="1:9" ht="14.25" customHeight="1">
      <c r="A663" s="483"/>
      <c r="B663" s="484"/>
      <c r="C663" s="487"/>
      <c r="F663" s="386"/>
      <c r="I663" s="490"/>
    </row>
    <row r="664" spans="1:9" ht="12.75" customHeight="1">
      <c r="A664" s="483"/>
      <c r="B664" s="485" t="s">
        <v>2615</v>
      </c>
      <c r="C664" s="487"/>
      <c r="D664" s="1300" t="s">
        <v>1281</v>
      </c>
      <c r="E664" s="1300"/>
      <c r="F664" s="1300"/>
      <c r="I664" s="490"/>
    </row>
    <row r="665" spans="1:9" ht="14.25">
      <c r="A665" s="483"/>
      <c r="B665" s="484"/>
      <c r="C665" s="487"/>
      <c r="D665" s="1300"/>
      <c r="E665" s="1300"/>
      <c r="F665" s="1300"/>
      <c r="I665" s="490"/>
    </row>
    <row r="666" spans="1:9" ht="14.25">
      <c r="A666" s="484"/>
      <c r="B666" s="484"/>
      <c r="C666" s="487"/>
      <c r="D666" s="1300"/>
      <c r="E666" s="1300"/>
      <c r="F666" s="1300"/>
      <c r="I666" s="490"/>
    </row>
    <row r="667" spans="1:9" ht="14.25">
      <c r="A667" s="484"/>
      <c r="B667" s="484"/>
      <c r="C667" s="487"/>
      <c r="D667" s="1300"/>
      <c r="E667" s="1300"/>
      <c r="F667" s="1300"/>
      <c r="I667" s="490"/>
    </row>
    <row r="668" spans="1:9" ht="14.25">
      <c r="A668" s="484"/>
      <c r="B668" s="484"/>
      <c r="C668" s="487"/>
      <c r="D668" s="445"/>
      <c r="E668" s="445"/>
      <c r="F668" s="445"/>
      <c r="I668" s="490"/>
    </row>
    <row r="669" spans="1:9" ht="12.75" customHeight="1">
      <c r="A669" s="483"/>
      <c r="B669" s="485" t="s">
        <v>2615</v>
      </c>
      <c r="C669" s="487"/>
      <c r="D669" s="1300" t="s">
        <v>2066</v>
      </c>
      <c r="E669" s="1300"/>
      <c r="F669" s="1300"/>
      <c r="I669" s="490"/>
    </row>
    <row r="670" spans="1:9" ht="12.75" customHeight="1">
      <c r="A670" s="483"/>
      <c r="B670" s="484"/>
      <c r="C670" s="487"/>
      <c r="D670" s="1300"/>
      <c r="E670" s="1300"/>
      <c r="F670" s="1300"/>
      <c r="I670" s="490"/>
    </row>
    <row r="671" spans="1:9" ht="12.75" customHeight="1">
      <c r="A671" s="483"/>
      <c r="B671" s="484"/>
      <c r="C671" s="487"/>
      <c r="D671" s="1300"/>
      <c r="E671" s="1300"/>
      <c r="F671" s="1300"/>
      <c r="I671" s="490"/>
    </row>
    <row r="672" spans="1:9" ht="12.75" customHeight="1">
      <c r="A672" s="483"/>
      <c r="B672" s="484"/>
      <c r="C672" s="487"/>
      <c r="D672" s="1300"/>
      <c r="E672" s="1300"/>
      <c r="F672" s="1300"/>
      <c r="I672" s="490"/>
    </row>
    <row r="673" spans="1:11" ht="12.75" customHeight="1">
      <c r="A673" s="483"/>
      <c r="B673" s="484"/>
      <c r="C673" s="487"/>
      <c r="D673" s="1300"/>
      <c r="E673" s="1300"/>
      <c r="F673" s="1300"/>
      <c r="I673" s="490"/>
    </row>
    <row r="674" spans="1:11" ht="12.75" customHeight="1">
      <c r="A674" s="483"/>
      <c r="B674" s="484"/>
      <c r="C674" s="487"/>
      <c r="D674" s="1300"/>
      <c r="E674" s="1300"/>
      <c r="F674" s="1300"/>
      <c r="I674" s="490"/>
    </row>
    <row r="675" spans="1:11" ht="12.75" customHeight="1">
      <c r="A675" s="483"/>
      <c r="B675" s="484"/>
      <c r="C675" s="487"/>
      <c r="D675" s="1300"/>
      <c r="E675" s="1300"/>
      <c r="F675" s="1300"/>
      <c r="I675" s="490"/>
    </row>
    <row r="676" spans="1:11" ht="12.75" customHeight="1">
      <c r="A676" s="483"/>
      <c r="B676" s="484"/>
      <c r="C676" s="487"/>
      <c r="D676" s="1300"/>
      <c r="E676" s="1300"/>
      <c r="F676" s="1300"/>
      <c r="I676" s="490"/>
    </row>
    <row r="677" spans="1:11" ht="12.75" customHeight="1">
      <c r="A677" s="483"/>
      <c r="B677" s="484"/>
      <c r="C677" s="487"/>
      <c r="D677" s="1300"/>
      <c r="E677" s="1300"/>
      <c r="F677" s="1300"/>
      <c r="I677" s="490"/>
    </row>
    <row r="678" spans="1:11">
      <c r="A678" s="487"/>
      <c r="B678" s="487"/>
      <c r="C678" s="487"/>
      <c r="D678" s="446"/>
      <c r="E678" s="446"/>
      <c r="F678" s="446"/>
      <c r="I678" s="490"/>
    </row>
    <row r="679" spans="1:11">
      <c r="A679" s="1307" t="s">
        <v>1058</v>
      </c>
      <c r="B679" s="1307"/>
      <c r="C679" s="1307"/>
      <c r="D679" s="1307"/>
      <c r="E679" s="1307"/>
      <c r="F679" s="1307"/>
      <c r="G679" s="1307"/>
      <c r="H679" s="1029"/>
      <c r="I679" s="1156"/>
      <c r="J679" s="501"/>
      <c r="K679" s="501"/>
    </row>
    <row r="680" spans="1:11">
      <c r="A680" s="448"/>
      <c r="B680" s="448"/>
      <c r="C680" s="448"/>
      <c r="D680" s="448"/>
      <c r="E680" s="448"/>
      <c r="F680" s="448"/>
      <c r="G680" s="448"/>
      <c r="H680" s="501"/>
      <c r="I680" s="483"/>
      <c r="J680" s="501"/>
      <c r="K680" s="501"/>
    </row>
    <row r="681" spans="1:11">
      <c r="C681" s="482"/>
      <c r="D681" s="1308" t="s">
        <v>99</v>
      </c>
      <c r="E681" s="1308"/>
      <c r="F681" s="1308"/>
      <c r="H681" s="501"/>
      <c r="I681" s="483"/>
      <c r="J681" s="501"/>
      <c r="K681" s="501"/>
    </row>
    <row r="682" spans="1:11">
      <c r="A682" s="482"/>
      <c r="B682" s="482"/>
      <c r="C682" s="482"/>
      <c r="D682" s="1308" t="s">
        <v>123</v>
      </c>
      <c r="E682" s="1308"/>
      <c r="F682" s="1308"/>
      <c r="H682" s="501"/>
      <c r="I682" s="483"/>
      <c r="J682" s="501"/>
      <c r="K682" s="501"/>
    </row>
    <row r="683" spans="1:11">
      <c r="A683" s="483"/>
      <c r="B683" s="483"/>
      <c r="C683" s="483"/>
      <c r="D683" s="1298" t="s">
        <v>1075</v>
      </c>
      <c r="E683" s="1298"/>
      <c r="F683" s="1298"/>
      <c r="H683" s="501"/>
      <c r="I683" s="483"/>
      <c r="J683" s="501"/>
      <c r="K683" s="501"/>
    </row>
    <row r="684" spans="1:11">
      <c r="A684" s="483"/>
      <c r="B684" s="483"/>
      <c r="C684" s="483"/>
      <c r="H684" s="501"/>
      <c r="I684" s="483"/>
      <c r="J684" s="501"/>
      <c r="K684" s="501"/>
    </row>
    <row r="685" spans="1:11" ht="14.25">
      <c r="A685" s="484"/>
      <c r="B685" s="485" t="s">
        <v>2615</v>
      </c>
      <c r="C685" s="483"/>
      <c r="D685" s="1298" t="s">
        <v>885</v>
      </c>
      <c r="E685" s="1298"/>
      <c r="F685" s="1298"/>
      <c r="H685" s="501"/>
      <c r="I685" s="483"/>
      <c r="J685" s="501"/>
      <c r="K685" s="501"/>
    </row>
    <row r="686" spans="1:11">
      <c r="A686" s="483"/>
      <c r="B686" s="483"/>
      <c r="C686" s="483"/>
      <c r="D686" s="1298" t="s">
        <v>894</v>
      </c>
      <c r="E686" s="1298"/>
      <c r="F686" s="1298"/>
      <c r="H686" s="501"/>
      <c r="I686" s="483"/>
      <c r="J686" s="501"/>
      <c r="K686" s="501"/>
    </row>
    <row r="687" spans="1:11" ht="12.75" customHeight="1">
      <c r="A687" s="483"/>
      <c r="B687" s="483"/>
      <c r="C687" s="483"/>
      <c r="E687" s="1035"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ht="14.25">
      <c r="A690" s="484"/>
      <c r="B690" s="485" t="s">
        <v>2615</v>
      </c>
      <c r="C690" s="483"/>
      <c r="D690" s="1300" t="s">
        <v>2067</v>
      </c>
      <c r="E690" s="1300"/>
      <c r="F690" s="1300"/>
      <c r="H690" s="501"/>
      <c r="I690" s="483"/>
      <c r="J690" s="501"/>
      <c r="K690" s="501"/>
    </row>
    <row r="691" spans="1:11">
      <c r="A691" s="490"/>
      <c r="B691" s="490"/>
      <c r="C691" s="483"/>
      <c r="D691" s="1300"/>
      <c r="E691" s="1300"/>
      <c r="F691" s="1300"/>
      <c r="H691" s="501"/>
      <c r="I691" s="483"/>
      <c r="J691" s="501"/>
      <c r="K691" s="501"/>
    </row>
    <row r="692" spans="1:11">
      <c r="A692" s="483"/>
      <c r="B692" s="483"/>
      <c r="C692" s="483"/>
      <c r="D692" s="1300"/>
      <c r="E692" s="1300"/>
      <c r="F692" s="1300"/>
      <c r="H692" s="501"/>
      <c r="I692" s="483"/>
      <c r="J692" s="501"/>
      <c r="K692" s="501"/>
    </row>
    <row r="693" spans="1:11">
      <c r="A693" s="483"/>
      <c r="B693" s="483"/>
      <c r="C693" s="483"/>
      <c r="H693" s="501"/>
      <c r="J693" s="501"/>
      <c r="K693" s="501"/>
    </row>
    <row r="694" spans="1:11" ht="14.25">
      <c r="A694" s="484"/>
      <c r="B694" s="485" t="s">
        <v>2614</v>
      </c>
      <c r="C694" s="483"/>
      <c r="D694" s="1298" t="s">
        <v>917</v>
      </c>
      <c r="E694" s="1298"/>
      <c r="F694" s="1298"/>
      <c r="H694" s="501"/>
      <c r="I694" s="483"/>
      <c r="J694" s="501"/>
      <c r="K694" s="501"/>
    </row>
    <row r="695" spans="1:11" ht="14.25">
      <c r="A695" s="484"/>
      <c r="B695" s="484"/>
      <c r="C695" s="483"/>
      <c r="D695" s="1298" t="s">
        <v>894</v>
      </c>
      <c r="E695" s="1298"/>
      <c r="F695" s="1298"/>
      <c r="H695" s="501"/>
      <c r="I695" s="483"/>
      <c r="J695" s="501"/>
      <c r="K695" s="501"/>
    </row>
    <row r="696" spans="1:11">
      <c r="A696" s="483"/>
      <c r="B696" s="483"/>
      <c r="C696" s="483"/>
      <c r="E696" s="1035" t="s">
        <v>1913</v>
      </c>
      <c r="F696" s="404"/>
      <c r="H696" s="501"/>
      <c r="I696" s="483"/>
      <c r="J696" s="501"/>
      <c r="K696" s="501"/>
    </row>
    <row r="697" spans="1:11">
      <c r="A697" s="483"/>
      <c r="B697" s="483"/>
      <c r="C697" s="483"/>
      <c r="D697" s="404"/>
      <c r="H697" s="501"/>
      <c r="I697" s="483"/>
      <c r="J697" s="501"/>
      <c r="K697" s="501"/>
    </row>
    <row r="698" spans="1:11" ht="14.25">
      <c r="A698" s="484"/>
      <c r="B698" s="485" t="s">
        <v>2615</v>
      </c>
      <c r="C698" s="483"/>
      <c r="D698" s="1298" t="s">
        <v>2469</v>
      </c>
      <c r="E698" s="1298"/>
      <c r="F698" s="1298"/>
      <c r="H698" s="501"/>
      <c r="I698" s="483"/>
      <c r="J698" s="501"/>
      <c r="K698" s="501"/>
    </row>
    <row r="699" spans="1:11" ht="14.25">
      <c r="A699" s="484"/>
      <c r="B699" s="484"/>
      <c r="C699" s="483"/>
      <c r="D699" s="1298" t="s">
        <v>894</v>
      </c>
      <c r="E699" s="1298"/>
      <c r="F699" s="1298"/>
      <c r="H699" s="501"/>
      <c r="I699" s="483"/>
      <c r="J699" s="501"/>
      <c r="K699" s="501"/>
    </row>
    <row r="700" spans="1:11">
      <c r="A700" s="483"/>
      <c r="B700" s="483"/>
      <c r="C700" s="483"/>
      <c r="E700" s="1035" t="s">
        <v>2470</v>
      </c>
      <c r="F700" s="404"/>
      <c r="H700" s="501"/>
      <c r="I700" s="483"/>
      <c r="J700" s="501"/>
      <c r="K700" s="501"/>
    </row>
    <row r="701" spans="1:11">
      <c r="A701" s="483"/>
      <c r="B701" s="483"/>
      <c r="C701" s="483"/>
      <c r="D701" s="404"/>
      <c r="H701" s="501"/>
      <c r="I701" s="483"/>
      <c r="J701" s="501"/>
      <c r="K701" s="501"/>
    </row>
    <row r="702" spans="1:11" ht="14.25">
      <c r="A702" s="484"/>
      <c r="B702" s="485" t="s">
        <v>2615</v>
      </c>
      <c r="C702" s="483"/>
      <c r="D702" s="1300" t="s">
        <v>2244</v>
      </c>
      <c r="E702" s="1300"/>
      <c r="F702" s="1300"/>
      <c r="H702" s="501"/>
      <c r="I702" s="483"/>
      <c r="J702" s="501"/>
      <c r="K702" s="501"/>
    </row>
    <row r="703" spans="1:11">
      <c r="A703" s="483"/>
      <c r="B703" s="483"/>
      <c r="C703" s="483"/>
      <c r="D703" s="1300"/>
      <c r="E703" s="1300"/>
      <c r="F703" s="1300"/>
      <c r="H703" s="501"/>
      <c r="I703" s="483"/>
      <c r="J703" s="501"/>
      <c r="K703" s="501"/>
    </row>
    <row r="704" spans="1:11">
      <c r="A704" s="483"/>
      <c r="B704" s="483"/>
      <c r="C704" s="483"/>
      <c r="D704" s="1300"/>
      <c r="E704" s="1300"/>
      <c r="F704" s="1300"/>
      <c r="H704" s="501"/>
      <c r="I704" s="483"/>
      <c r="J704" s="501"/>
      <c r="K704" s="501"/>
    </row>
    <row r="705" spans="1:11">
      <c r="A705" s="483"/>
      <c r="B705" s="483"/>
      <c r="C705" s="483"/>
      <c r="D705" s="1300"/>
      <c r="E705" s="1300"/>
      <c r="F705" s="1300"/>
      <c r="H705" s="501"/>
      <c r="I705" s="483"/>
      <c r="J705" s="501"/>
      <c r="K705" s="501"/>
    </row>
    <row r="706" spans="1:11">
      <c r="A706" s="483"/>
      <c r="B706" s="483"/>
      <c r="C706" s="483"/>
      <c r="D706" s="1300"/>
      <c r="E706" s="1300"/>
      <c r="F706" s="1300"/>
      <c r="H706" s="501"/>
      <c r="I706" s="483"/>
      <c r="J706" s="501"/>
      <c r="K706" s="501"/>
    </row>
    <row r="707" spans="1:11">
      <c r="A707" s="483"/>
      <c r="B707" s="483"/>
      <c r="C707" s="483"/>
      <c r="D707" s="1300"/>
      <c r="E707" s="1300"/>
      <c r="F707" s="1300"/>
      <c r="H707" s="501"/>
      <c r="I707" s="483"/>
      <c r="J707" s="501"/>
      <c r="K707" s="501"/>
    </row>
    <row r="708" spans="1:11">
      <c r="A708" s="483"/>
      <c r="B708" s="483"/>
      <c r="C708" s="483"/>
      <c r="D708" s="445"/>
      <c r="E708" s="445"/>
      <c r="F708" s="445"/>
      <c r="H708" s="501"/>
      <c r="I708" s="483"/>
      <c r="J708" s="501"/>
      <c r="K708" s="501"/>
    </row>
    <row r="709" spans="1:11">
      <c r="A709" s="483"/>
      <c r="B709" s="485" t="s">
        <v>2615</v>
      </c>
      <c r="C709" s="483"/>
      <c r="D709" s="1300" t="s">
        <v>1200</v>
      </c>
      <c r="E709" s="1300"/>
      <c r="F709" s="1300"/>
      <c r="H709" s="501"/>
      <c r="I709" s="483"/>
      <c r="J709" s="501"/>
      <c r="K709" s="501"/>
    </row>
    <row r="710" spans="1:11">
      <c r="A710" s="483"/>
      <c r="B710" s="483"/>
      <c r="C710" s="483"/>
      <c r="D710" s="1300"/>
      <c r="E710" s="1300"/>
      <c r="F710" s="1300"/>
      <c r="H710" s="501"/>
      <c r="I710" s="483"/>
      <c r="J710" s="501"/>
      <c r="K710" s="501"/>
    </row>
    <row r="711" spans="1:11">
      <c r="A711" s="483"/>
      <c r="B711" s="483"/>
      <c r="C711" s="483"/>
      <c r="D711" s="445"/>
      <c r="E711" s="445"/>
      <c r="F711" s="445"/>
      <c r="H711" s="501"/>
      <c r="I711" s="483"/>
      <c r="J711" s="501"/>
      <c r="K711" s="501"/>
    </row>
    <row r="712" spans="1:11" ht="14.25">
      <c r="A712" s="484"/>
      <c r="B712" s="485" t="s">
        <v>2615</v>
      </c>
      <c r="C712" s="483"/>
      <c r="D712" s="1300" t="s">
        <v>1076</v>
      </c>
      <c r="E712" s="1300"/>
      <c r="F712" s="1300"/>
      <c r="H712" s="501"/>
      <c r="I712" s="483"/>
      <c r="J712" s="501"/>
      <c r="K712" s="501"/>
    </row>
    <row r="713" spans="1:11">
      <c r="A713" s="483"/>
      <c r="B713" s="483"/>
      <c r="C713" s="483"/>
      <c r="D713" s="1300"/>
      <c r="E713" s="1300"/>
      <c r="F713" s="1300"/>
      <c r="H713" s="501"/>
      <c r="I713" s="483"/>
      <c r="J713" s="501"/>
      <c r="K713" s="501"/>
    </row>
    <row r="714" spans="1:11">
      <c r="A714" s="483"/>
      <c r="B714" s="483"/>
      <c r="C714" s="483"/>
      <c r="D714" s="1300"/>
      <c r="E714" s="1300"/>
      <c r="F714" s="1300"/>
      <c r="H714" s="501"/>
      <c r="I714" s="483"/>
      <c r="J714" s="501"/>
      <c r="K714" s="501"/>
    </row>
    <row r="715" spans="1:11" ht="15" customHeight="1">
      <c r="A715" s="483"/>
      <c r="B715" s="483"/>
      <c r="C715" s="483"/>
      <c r="D715" s="1300"/>
      <c r="E715" s="1300"/>
      <c r="F715" s="1300"/>
      <c r="H715" s="501"/>
      <c r="I715" s="483"/>
      <c r="J715" s="501"/>
      <c r="K715" s="501"/>
    </row>
    <row r="716" spans="1:11" ht="15" customHeight="1">
      <c r="A716" s="483"/>
      <c r="B716" s="483"/>
      <c r="C716" s="483"/>
      <c r="D716" s="1300"/>
      <c r="E716" s="1300"/>
      <c r="F716" s="1300"/>
      <c r="H716" s="501"/>
      <c r="I716" s="483"/>
      <c r="J716" s="501"/>
      <c r="K716" s="501"/>
    </row>
    <row r="717" spans="1:11">
      <c r="A717" s="483"/>
      <c r="B717" s="483"/>
      <c r="C717" s="483"/>
      <c r="D717" s="1300"/>
      <c r="E717" s="1300"/>
      <c r="F717" s="1300"/>
      <c r="H717" s="501"/>
      <c r="I717" s="483"/>
      <c r="J717" s="501"/>
      <c r="K717" s="501"/>
    </row>
    <row r="718" spans="1:11">
      <c r="A718" s="483"/>
      <c r="B718" s="483"/>
      <c r="C718" s="483"/>
      <c r="D718" s="1300"/>
      <c r="E718" s="1300"/>
      <c r="F718" s="1300"/>
      <c r="H718" s="501"/>
      <c r="I718" s="483"/>
      <c r="J718" s="501"/>
      <c r="K718" s="501"/>
    </row>
    <row r="719" spans="1:11">
      <c r="A719" s="483"/>
      <c r="B719" s="483"/>
      <c r="C719" s="483"/>
      <c r="D719" s="1300"/>
      <c r="E719" s="1300"/>
      <c r="F719" s="1300"/>
      <c r="H719" s="501"/>
      <c r="I719" s="483"/>
      <c r="J719" s="501"/>
      <c r="K719" s="501"/>
    </row>
    <row r="720" spans="1:11" ht="15" customHeight="1">
      <c r="A720" s="483"/>
      <c r="B720" s="483"/>
      <c r="C720" s="483"/>
      <c r="D720" s="1300"/>
      <c r="E720" s="1300"/>
      <c r="F720" s="1300"/>
      <c r="H720" s="501"/>
      <c r="I720" s="483"/>
      <c r="J720" s="501"/>
      <c r="K720" s="501"/>
    </row>
    <row r="721" spans="1:11">
      <c r="A721" s="483"/>
      <c r="B721" s="483"/>
      <c r="C721" s="483"/>
      <c r="D721" s="1300"/>
      <c r="E721" s="1300"/>
      <c r="F721" s="1300"/>
      <c r="H721" s="501"/>
      <c r="I721" s="483"/>
      <c r="J721" s="501"/>
      <c r="K721" s="501"/>
    </row>
    <row r="722" spans="1:11">
      <c r="A722" s="483"/>
      <c r="B722" s="483"/>
      <c r="C722" s="483"/>
      <c r="D722" s="1300"/>
      <c r="E722" s="1300"/>
      <c r="F722" s="1300"/>
      <c r="H722" s="501"/>
      <c r="I722" s="483"/>
      <c r="J722" s="501"/>
      <c r="K722" s="501"/>
    </row>
    <row r="723" spans="1:11">
      <c r="A723" s="483"/>
      <c r="B723" s="483"/>
      <c r="C723" s="483"/>
      <c r="D723" s="1300"/>
      <c r="E723" s="1300"/>
      <c r="F723" s="1300"/>
      <c r="H723" s="501"/>
      <c r="I723" s="483"/>
      <c r="J723" s="501"/>
      <c r="K723" s="501"/>
    </row>
    <row r="724" spans="1:11">
      <c r="A724" s="483"/>
      <c r="B724" s="483"/>
      <c r="C724" s="483"/>
      <c r="D724" s="1300"/>
      <c r="E724" s="1300"/>
      <c r="F724" s="1300"/>
      <c r="H724" s="501"/>
      <c r="I724" s="483"/>
      <c r="J724" s="501"/>
      <c r="K724" s="501"/>
    </row>
    <row r="725" spans="1:11">
      <c r="A725" s="483"/>
      <c r="B725" s="485" t="s">
        <v>2615</v>
      </c>
      <c r="C725" s="483"/>
      <c r="D725" s="1300" t="s">
        <v>2462</v>
      </c>
      <c r="E725" s="1300"/>
      <c r="F725" s="1300"/>
      <c r="H725" s="501"/>
      <c r="I725" s="483"/>
      <c r="J725" s="501"/>
      <c r="K725" s="501"/>
    </row>
    <row r="726" spans="1:11">
      <c r="A726" s="483"/>
      <c r="B726" s="483"/>
      <c r="C726" s="483"/>
      <c r="D726" s="1300"/>
      <c r="E726" s="1300"/>
      <c r="F726" s="1300"/>
      <c r="H726" s="501"/>
      <c r="I726" s="483"/>
      <c r="J726" s="501"/>
      <c r="K726" s="501"/>
    </row>
    <row r="727" spans="1:11">
      <c r="A727" s="483"/>
      <c r="B727" s="483"/>
      <c r="C727" s="483"/>
      <c r="D727" s="1300"/>
      <c r="E727" s="1300"/>
      <c r="F727" s="1300"/>
      <c r="H727" s="501"/>
      <c r="I727" s="483"/>
      <c r="J727" s="501"/>
      <c r="K727" s="501"/>
    </row>
    <row r="728" spans="1:11">
      <c r="A728" s="483"/>
      <c r="B728" s="483"/>
      <c r="C728" s="483"/>
      <c r="D728" s="445"/>
      <c r="E728" s="445"/>
      <c r="F728" s="445"/>
      <c r="H728" s="501"/>
      <c r="I728" s="483"/>
      <c r="J728" s="501"/>
      <c r="K728" s="501"/>
    </row>
    <row r="729" spans="1:11">
      <c r="A729" s="483"/>
      <c r="B729" s="485" t="s">
        <v>2615</v>
      </c>
      <c r="C729" s="483"/>
      <c r="D729" s="1300" t="s">
        <v>2461</v>
      </c>
      <c r="E729" s="1300"/>
      <c r="F729" s="1300"/>
      <c r="H729" s="501"/>
      <c r="I729" s="483"/>
      <c r="J729" s="501"/>
      <c r="K729" s="501"/>
    </row>
    <row r="730" spans="1:11">
      <c r="A730" s="483"/>
      <c r="B730" s="483"/>
      <c r="C730" s="483"/>
      <c r="D730" s="1300"/>
      <c r="E730" s="1300"/>
      <c r="F730" s="1300"/>
      <c r="H730" s="501"/>
      <c r="I730" s="483"/>
      <c r="J730" s="501"/>
      <c r="K730" s="501"/>
    </row>
    <row r="731" spans="1:11">
      <c r="A731" s="483"/>
      <c r="B731" s="483"/>
      <c r="C731" s="483"/>
      <c r="D731" s="1300"/>
      <c r="E731" s="1300"/>
      <c r="F731" s="1300"/>
      <c r="H731" s="501"/>
      <c r="I731" s="483"/>
      <c r="J731" s="501"/>
      <c r="K731" s="501"/>
    </row>
    <row r="732" spans="1:11">
      <c r="A732" s="483"/>
      <c r="B732" s="483"/>
      <c r="C732" s="483"/>
      <c r="H732" s="501"/>
      <c r="I732" s="483"/>
      <c r="J732" s="501"/>
      <c r="K732" s="501"/>
    </row>
    <row r="733" spans="1:11">
      <c r="A733" s="483"/>
      <c r="B733" s="485" t="s">
        <v>2615</v>
      </c>
      <c r="C733" s="483"/>
      <c r="D733" s="1300" t="s">
        <v>2460</v>
      </c>
      <c r="E733" s="1300"/>
      <c r="F733" s="1300"/>
      <c r="H733" s="501"/>
      <c r="I733" s="483"/>
      <c r="J733" s="501"/>
      <c r="K733" s="501"/>
    </row>
    <row r="734" spans="1:11">
      <c r="A734" s="483"/>
      <c r="B734" s="483"/>
      <c r="C734" s="483"/>
      <c r="D734" s="1300"/>
      <c r="E734" s="1300"/>
      <c r="F734" s="1300"/>
      <c r="H734" s="501"/>
      <c r="I734" s="483"/>
      <c r="J734" s="501"/>
      <c r="K734" s="501"/>
    </row>
    <row r="735" spans="1:11">
      <c r="A735" s="483"/>
      <c r="B735" s="483"/>
      <c r="C735" s="483"/>
      <c r="D735" s="1300"/>
      <c r="E735" s="1300"/>
      <c r="F735" s="1300"/>
      <c r="H735" s="501"/>
      <c r="I735" s="483"/>
      <c r="J735" s="501"/>
      <c r="K735" s="501"/>
    </row>
    <row r="736" spans="1:11">
      <c r="A736" s="483"/>
      <c r="B736" s="483"/>
      <c r="C736" s="483"/>
      <c r="D736" s="1300"/>
      <c r="E736" s="1300"/>
      <c r="F736" s="1300"/>
      <c r="H736" s="501"/>
      <c r="I736" s="483"/>
      <c r="J736" s="501"/>
      <c r="K736" s="501"/>
    </row>
    <row r="737" spans="1:11">
      <c r="A737" s="483"/>
      <c r="B737" s="483"/>
      <c r="C737" s="483"/>
      <c r="H737" s="501"/>
      <c r="I737" s="483"/>
      <c r="J737" s="501"/>
      <c r="K737" s="501"/>
    </row>
    <row r="738" spans="1:11" ht="14.25">
      <c r="A738" s="484"/>
      <c r="B738" s="485" t="s">
        <v>2615</v>
      </c>
      <c r="C738" s="483"/>
      <c r="D738" s="1300" t="s">
        <v>1077</v>
      </c>
      <c r="E738" s="1300"/>
      <c r="F738" s="1300"/>
      <c r="H738" s="501"/>
      <c r="I738" s="483"/>
      <c r="J738" s="501"/>
      <c r="K738" s="501"/>
    </row>
    <row r="739" spans="1:11">
      <c r="A739" s="483"/>
      <c r="B739" s="483"/>
      <c r="C739" s="483"/>
      <c r="D739" s="1300"/>
      <c r="E739" s="1300"/>
      <c r="F739" s="1300"/>
      <c r="H739" s="501"/>
      <c r="I739" s="483"/>
      <c r="J739" s="501"/>
      <c r="K739" s="501"/>
    </row>
    <row r="740" spans="1:11">
      <c r="A740" s="483"/>
      <c r="B740" s="483"/>
      <c r="C740" s="483"/>
      <c r="D740" s="1300"/>
      <c r="E740" s="1300"/>
      <c r="F740" s="1300"/>
      <c r="H740" s="501"/>
      <c r="I740" s="483"/>
      <c r="J740" s="501"/>
      <c r="K740" s="501"/>
    </row>
    <row r="741" spans="1:11">
      <c r="A741" s="483"/>
      <c r="B741" s="483"/>
      <c r="C741" s="483"/>
      <c r="D741" s="1300"/>
      <c r="E741" s="1300"/>
      <c r="F741" s="1300"/>
      <c r="H741" s="501"/>
      <c r="I741" s="483"/>
      <c r="J741" s="501"/>
      <c r="K741" s="501"/>
    </row>
    <row r="742" spans="1:11">
      <c r="A742" s="483"/>
      <c r="B742" s="483"/>
      <c r="C742" s="483"/>
      <c r="D742" s="1300"/>
      <c r="E742" s="1300"/>
      <c r="F742" s="1300"/>
      <c r="H742" s="501"/>
      <c r="I742" s="483"/>
      <c r="J742" s="501"/>
      <c r="K742" s="501"/>
    </row>
    <row r="743" spans="1:11">
      <c r="A743" s="483"/>
      <c r="B743" s="483"/>
      <c r="C743" s="483"/>
      <c r="D743" s="492"/>
      <c r="H743" s="501"/>
      <c r="I743" s="483"/>
      <c r="J743" s="501"/>
      <c r="K743" s="501"/>
    </row>
    <row r="744" spans="1:11" ht="14.25">
      <c r="A744" s="484"/>
      <c r="B744" s="485" t="s">
        <v>2615</v>
      </c>
      <c r="C744" s="483"/>
      <c r="D744" s="1300" t="s">
        <v>2145</v>
      </c>
      <c r="E744" s="1300"/>
      <c r="F744" s="1300"/>
      <c r="H744" s="501"/>
      <c r="I744" s="483"/>
      <c r="J744" s="501"/>
      <c r="K744" s="501"/>
    </row>
    <row r="745" spans="1:11">
      <c r="A745" s="483"/>
      <c r="B745" s="483"/>
      <c r="C745" s="483"/>
      <c r="D745" s="1300"/>
      <c r="E745" s="1300"/>
      <c r="F745" s="1300"/>
      <c r="H745" s="501"/>
      <c r="I745" s="483"/>
      <c r="J745" s="501"/>
      <c r="K745" s="501"/>
    </row>
    <row r="746" spans="1:11">
      <c r="A746" s="483"/>
      <c r="B746" s="483"/>
      <c r="C746" s="483"/>
      <c r="D746" s="1300"/>
      <c r="E746" s="1300"/>
      <c r="F746" s="1300"/>
      <c r="H746" s="501"/>
      <c r="I746" s="483"/>
      <c r="J746" s="501"/>
      <c r="K746" s="501"/>
    </row>
    <row r="747" spans="1:11">
      <c r="A747" s="483"/>
      <c r="B747" s="483"/>
      <c r="C747" s="483"/>
      <c r="D747" s="1300"/>
      <c r="E747" s="1300"/>
      <c r="F747" s="1300"/>
      <c r="H747" s="501"/>
      <c r="I747" s="483"/>
      <c r="J747" s="501"/>
      <c r="K747" s="501"/>
    </row>
    <row r="748" spans="1:11">
      <c r="A748" s="483"/>
      <c r="B748" s="483"/>
      <c r="C748" s="483"/>
      <c r="D748" s="1300"/>
      <c r="E748" s="1300"/>
      <c r="F748" s="1300"/>
      <c r="H748" s="501"/>
      <c r="I748" s="483"/>
      <c r="J748" s="501"/>
      <c r="K748" s="501"/>
    </row>
    <row r="749" spans="1:11">
      <c r="A749" s="483"/>
      <c r="B749" s="483"/>
      <c r="C749" s="483"/>
      <c r="D749" s="1300"/>
      <c r="E749" s="1300"/>
      <c r="F749" s="1300"/>
      <c r="H749" s="501"/>
      <c r="I749" s="483"/>
      <c r="J749" s="501"/>
      <c r="K749" s="501"/>
    </row>
    <row r="750" spans="1:11">
      <c r="A750" s="483"/>
      <c r="B750" s="483"/>
      <c r="C750" s="483"/>
      <c r="D750" s="1300"/>
      <c r="E750" s="1300"/>
      <c r="F750" s="1300"/>
      <c r="H750" s="501"/>
      <c r="I750" s="483"/>
      <c r="J750" s="501"/>
      <c r="K750" s="501"/>
    </row>
    <row r="751" spans="1:11">
      <c r="A751" s="483"/>
      <c r="B751" s="483"/>
      <c r="C751" s="483"/>
      <c r="D751" s="1301" t="s">
        <v>2074</v>
      </c>
      <c r="E751" s="1301"/>
      <c r="F751" s="1301"/>
      <c r="H751" s="501"/>
      <c r="I751" s="483"/>
      <c r="J751" s="501"/>
      <c r="K751" s="501"/>
    </row>
    <row r="752" spans="1:11">
      <c r="A752" s="483"/>
      <c r="B752" s="483"/>
      <c r="C752" s="483"/>
      <c r="D752" s="341"/>
      <c r="H752" s="501"/>
      <c r="I752" s="483"/>
      <c r="J752" s="501"/>
      <c r="K752" s="501"/>
    </row>
    <row r="753" spans="1:11">
      <c r="A753" s="1299" t="s">
        <v>1059</v>
      </c>
      <c r="B753" s="1299"/>
      <c r="C753" s="1299"/>
      <c r="D753" s="1299"/>
      <c r="E753" s="1299"/>
      <c r="F753" s="1299"/>
      <c r="G753" s="1299"/>
      <c r="H753" s="1029"/>
      <c r="I753" s="1156"/>
      <c r="J753" s="501"/>
      <c r="K753" s="501"/>
    </row>
    <row r="754" spans="1:11">
      <c r="A754" s="483"/>
      <c r="B754" s="483"/>
      <c r="C754" s="483"/>
      <c r="D754" s="492"/>
      <c r="G754" s="501"/>
      <c r="H754" s="501"/>
      <c r="I754" s="483"/>
      <c r="J754" s="501"/>
      <c r="K754" s="501"/>
    </row>
    <row r="755" spans="1:11" ht="13.7" customHeight="1">
      <c r="C755" s="483"/>
      <c r="D755" s="1316" t="s">
        <v>1069</v>
      </c>
      <c r="E755" s="1316"/>
      <c r="F755" s="1316"/>
      <c r="G755" s="501"/>
      <c r="H755" s="501"/>
      <c r="I755" s="483"/>
      <c r="J755" s="501"/>
      <c r="K755" s="501"/>
    </row>
    <row r="756" spans="1:11">
      <c r="A756" s="483"/>
      <c r="B756" s="483"/>
      <c r="C756" s="483"/>
      <c r="D756" s="1302" t="s">
        <v>1070</v>
      </c>
      <c r="E756" s="1302"/>
      <c r="F756" s="1302"/>
      <c r="G756" s="501"/>
      <c r="H756" s="501"/>
      <c r="I756" s="483"/>
      <c r="J756" s="501"/>
      <c r="K756" s="501"/>
    </row>
    <row r="757" spans="1:11">
      <c r="A757" s="483"/>
      <c r="B757" s="483"/>
      <c r="C757" s="483"/>
      <c r="G757" s="501"/>
      <c r="H757" s="501"/>
      <c r="I757" s="483"/>
      <c r="J757" s="501"/>
      <c r="K757" s="501"/>
    </row>
    <row r="758" spans="1:11" ht="14.25">
      <c r="A758" s="484"/>
      <c r="B758" s="485" t="s">
        <v>2614</v>
      </c>
      <c r="D758" s="1300" t="s">
        <v>1071</v>
      </c>
      <c r="E758" s="1300"/>
      <c r="F758" s="1300"/>
      <c r="G758" s="501"/>
      <c r="H758" s="501"/>
      <c r="I758" s="483"/>
      <c r="J758" s="501"/>
      <c r="K758" s="501"/>
    </row>
    <row r="759" spans="1:11" ht="10.5" customHeight="1">
      <c r="D759" s="1300"/>
      <c r="E759" s="1300"/>
      <c r="F759" s="1300"/>
      <c r="G759" s="501"/>
      <c r="H759" s="501"/>
      <c r="I759" s="483"/>
      <c r="J759" s="501"/>
      <c r="K759" s="501"/>
    </row>
    <row r="760" spans="1:11">
      <c r="D760" s="1300"/>
      <c r="E760" s="1300"/>
      <c r="F760" s="1300"/>
      <c r="G760" s="501"/>
      <c r="H760" s="501"/>
      <c r="I760" s="483"/>
      <c r="J760" s="501"/>
      <c r="K760" s="501"/>
    </row>
    <row r="761" spans="1:11">
      <c r="D761" s="1300"/>
      <c r="E761" s="1300"/>
      <c r="F761" s="1300"/>
      <c r="G761" s="501"/>
      <c r="H761" s="501"/>
      <c r="I761" s="483"/>
      <c r="J761" s="501"/>
      <c r="K761" s="501"/>
    </row>
    <row r="762" spans="1:11">
      <c r="D762" s="1300"/>
      <c r="E762" s="1300"/>
      <c r="F762" s="1300"/>
      <c r="G762" s="501"/>
      <c r="H762" s="501"/>
      <c r="I762" s="483"/>
      <c r="J762" s="501"/>
      <c r="K762" s="501"/>
    </row>
    <row r="763" spans="1:11" ht="15.6" customHeight="1">
      <c r="D763" s="1300"/>
      <c r="E763" s="1300"/>
      <c r="F763" s="1300"/>
      <c r="G763" s="501"/>
      <c r="H763" s="501"/>
      <c r="I763" s="483"/>
      <c r="J763" s="501"/>
      <c r="K763" s="501"/>
    </row>
    <row r="764" spans="1:11">
      <c r="D764" s="499"/>
      <c r="E764" s="446"/>
      <c r="F764" s="446"/>
      <c r="G764" s="501"/>
      <c r="H764" s="501"/>
      <c r="I764" s="483"/>
      <c r="J764" s="501"/>
      <c r="K764" s="501"/>
    </row>
    <row r="765" spans="1:11" s="505" customFormat="1" ht="14.25">
      <c r="A765" s="503"/>
      <c r="B765" s="485" t="s">
        <v>2614</v>
      </c>
      <c r="C765" s="504"/>
      <c r="D765" s="1300" t="s">
        <v>1240</v>
      </c>
      <c r="E765" s="1300"/>
      <c r="F765" s="1300"/>
      <c r="I765" s="1157"/>
    </row>
    <row r="766" spans="1:11" s="505" customFormat="1">
      <c r="A766" s="504"/>
      <c r="B766" s="504"/>
      <c r="C766" s="504"/>
      <c r="D766" s="1300"/>
      <c r="E766" s="1300"/>
      <c r="F766" s="1300"/>
      <c r="I766" s="1157"/>
    </row>
    <row r="767" spans="1:11" s="505" customFormat="1">
      <c r="A767" s="504"/>
      <c r="B767" s="504"/>
      <c r="C767" s="504"/>
      <c r="D767" s="1300"/>
      <c r="E767" s="1300"/>
      <c r="F767" s="1300"/>
      <c r="I767" s="1157"/>
    </row>
    <row r="768" spans="1:11" s="505" customFormat="1">
      <c r="A768" s="504"/>
      <c r="B768" s="504"/>
      <c r="C768" s="504"/>
      <c r="D768" s="1300"/>
      <c r="E768" s="1300"/>
      <c r="F768" s="1300"/>
      <c r="I768" s="1157"/>
    </row>
    <row r="769" spans="1:11" s="505" customFormat="1">
      <c r="A769" s="504"/>
      <c r="B769" s="504"/>
      <c r="C769" s="504"/>
      <c r="D769" s="499"/>
      <c r="I769" s="1157"/>
    </row>
    <row r="770" spans="1:11" s="505" customFormat="1" ht="14.25">
      <c r="A770" s="484"/>
      <c r="B770" s="485" t="s">
        <v>2614</v>
      </c>
      <c r="C770" s="504"/>
      <c r="D770" s="1306" t="s">
        <v>1241</v>
      </c>
      <c r="E770" s="1306"/>
      <c r="F770" s="1306"/>
      <c r="I770" s="1157"/>
    </row>
    <row r="771" spans="1:11" s="505" customFormat="1">
      <c r="A771" s="504"/>
      <c r="B771" s="504"/>
      <c r="C771" s="504"/>
      <c r="D771" s="1306"/>
      <c r="E771" s="1306"/>
      <c r="F771" s="1306"/>
      <c r="I771" s="1157"/>
    </row>
    <row r="772" spans="1:11" s="505" customFormat="1">
      <c r="A772" s="504"/>
      <c r="B772" s="504"/>
      <c r="C772" s="504"/>
      <c r="D772" s="1306"/>
      <c r="E772" s="1306"/>
      <c r="F772" s="1306"/>
      <c r="I772" s="1157"/>
    </row>
    <row r="773" spans="1:11">
      <c r="D773" s="499"/>
      <c r="E773" s="446"/>
      <c r="F773" s="446"/>
      <c r="G773" s="501"/>
      <c r="H773" s="501"/>
      <c r="I773" s="483"/>
      <c r="J773" s="501"/>
      <c r="K773" s="501"/>
    </row>
    <row r="774" spans="1:11" ht="14.25">
      <c r="A774" s="484"/>
      <c r="B774" s="485" t="s">
        <v>2615</v>
      </c>
      <c r="D774" s="1300" t="s">
        <v>1197</v>
      </c>
      <c r="E774" s="1300"/>
      <c r="F774" s="1300"/>
      <c r="G774" s="501"/>
      <c r="H774" s="501"/>
      <c r="I774" s="483"/>
      <c r="J774" s="501"/>
      <c r="K774" s="501"/>
    </row>
    <row r="775" spans="1:11">
      <c r="D775" s="1300"/>
      <c r="E775" s="1300"/>
      <c r="F775" s="1300"/>
      <c r="G775" s="501"/>
      <c r="H775" s="501"/>
      <c r="I775" s="483"/>
      <c r="J775" s="501"/>
      <c r="K775" s="501"/>
    </row>
    <row r="776" spans="1:11">
      <c r="D776" s="445"/>
      <c r="E776" s="445"/>
      <c r="F776" s="445"/>
      <c r="G776" s="501"/>
      <c r="H776" s="501"/>
      <c r="I776" s="483"/>
      <c r="J776" s="501"/>
      <c r="K776" s="501"/>
    </row>
    <row r="777" spans="1:11">
      <c r="B777" s="485" t="s">
        <v>2615</v>
      </c>
      <c r="D777" s="1300" t="s">
        <v>1214</v>
      </c>
      <c r="E777" s="1300"/>
      <c r="F777" s="1300"/>
      <c r="G777" s="501"/>
      <c r="H777" s="501"/>
      <c r="I777" s="483"/>
      <c r="J777" s="501"/>
      <c r="K777" s="501"/>
    </row>
    <row r="778" spans="1:11">
      <c r="D778" s="1300"/>
      <c r="E778" s="1300"/>
      <c r="F778" s="1300"/>
      <c r="G778" s="501"/>
      <c r="H778" s="501"/>
      <c r="I778" s="483"/>
      <c r="J778" s="501"/>
      <c r="K778" s="501"/>
    </row>
    <row r="779" spans="1:11">
      <c r="D779" s="1300"/>
      <c r="E779" s="1300"/>
      <c r="F779" s="1300"/>
      <c r="G779" s="501"/>
      <c r="H779" s="501"/>
      <c r="I779" s="483"/>
      <c r="J779" s="501"/>
      <c r="K779" s="501"/>
    </row>
    <row r="780" spans="1:11">
      <c r="D780" s="445"/>
      <c r="E780" s="445"/>
      <c r="F780" s="445"/>
      <c r="G780" s="501"/>
      <c r="H780" s="501"/>
      <c r="I780" s="483"/>
      <c r="J780" s="501"/>
      <c r="K780" s="501"/>
    </row>
    <row r="781" spans="1:11">
      <c r="A781" s="1315" t="s">
        <v>1800</v>
      </c>
      <c r="B781" s="1315"/>
      <c r="C781" s="1315"/>
      <c r="D781" s="1315"/>
      <c r="E781" s="1315"/>
      <c r="F781" s="1315"/>
      <c r="G781" s="1315"/>
      <c r="H781" s="1027"/>
      <c r="I781" s="1152"/>
    </row>
    <row r="782" spans="1:11">
      <c r="A782" s="57"/>
      <c r="B782" s="57"/>
      <c r="C782" s="354"/>
      <c r="D782" s="3"/>
      <c r="E782" s="3"/>
      <c r="F782" s="3"/>
      <c r="G782" s="3"/>
      <c r="I782" s="490"/>
    </row>
    <row r="783" spans="1:11">
      <c r="A783" s="57"/>
      <c r="B783" s="57"/>
      <c r="C783" s="354"/>
      <c r="D783" s="1314" t="s">
        <v>1854</v>
      </c>
      <c r="E783" s="1314"/>
      <c r="F783" s="1314"/>
      <c r="G783" s="3"/>
      <c r="I783" s="490"/>
    </row>
    <row r="784" spans="1:11">
      <c r="A784" s="57"/>
      <c r="B784" s="57"/>
      <c r="C784" s="354"/>
      <c r="D784" s="1317" t="s">
        <v>1754</v>
      </c>
      <c r="E784" s="1317"/>
      <c r="F784" s="1317"/>
      <c r="G784" s="3"/>
      <c r="I784" s="490"/>
    </row>
    <row r="785" spans="1:9">
      <c r="A785" s="57"/>
      <c r="B785" s="57"/>
      <c r="C785" s="354"/>
      <c r="D785" s="447"/>
      <c r="E785" s="447"/>
      <c r="F785" s="447"/>
      <c r="G785" s="3"/>
      <c r="I785" s="490"/>
    </row>
    <row r="786" spans="1:9">
      <c r="A786" s="57"/>
      <c r="B786" s="485" t="s">
        <v>2614</v>
      </c>
      <c r="C786" s="354"/>
      <c r="D786" s="1293" t="s">
        <v>1755</v>
      </c>
      <c r="E786" s="1293"/>
      <c r="F786" s="1293"/>
      <c r="G786" s="3"/>
      <c r="I786" s="483"/>
    </row>
    <row r="787" spans="1:9">
      <c r="A787" s="57"/>
      <c r="B787" s="57"/>
      <c r="C787" s="354"/>
      <c r="D787" s="1293"/>
      <c r="E787" s="1293"/>
      <c r="F787" s="1293"/>
      <c r="G787" s="3"/>
      <c r="I787" s="490"/>
    </row>
    <row r="788" spans="1:9">
      <c r="A788" s="174"/>
      <c r="B788" s="174"/>
      <c r="C788" s="174"/>
      <c r="D788" s="1293"/>
      <c r="E788" s="1293"/>
      <c r="F788" s="1293"/>
      <c r="G788" s="118"/>
      <c r="I788" s="490"/>
    </row>
    <row r="789" spans="1:9">
      <c r="A789" s="354"/>
      <c r="B789" s="354"/>
      <c r="C789" s="354"/>
      <c r="D789" s="173"/>
      <c r="E789" s="3"/>
      <c r="F789" s="3"/>
      <c r="G789" s="3"/>
      <c r="I789" s="490"/>
    </row>
    <row r="790" spans="1:9">
      <c r="A790" s="172"/>
      <c r="B790" s="485" t="s">
        <v>2615</v>
      </c>
      <c r="C790" s="172"/>
      <c r="D790" s="1293" t="s">
        <v>1756</v>
      </c>
      <c r="E790" s="1293"/>
      <c r="F790" s="1293"/>
      <c r="G790" s="3"/>
      <c r="I790" s="483"/>
    </row>
    <row r="791" spans="1:9">
      <c r="A791" s="172"/>
      <c r="B791" s="172"/>
      <c r="C791" s="172"/>
      <c r="D791" s="1293"/>
      <c r="E791" s="1293"/>
      <c r="F791" s="1293"/>
      <c r="G791" s="3"/>
      <c r="I791" s="490"/>
    </row>
    <row r="792" spans="1:9">
      <c r="A792" s="172"/>
      <c r="B792" s="172"/>
      <c r="C792" s="172"/>
      <c r="D792" s="1293"/>
      <c r="E792" s="1293"/>
      <c r="F792" s="1293"/>
      <c r="G792" s="3"/>
      <c r="I792" s="490"/>
    </row>
    <row r="793" spans="1:9">
      <c r="A793" s="174"/>
      <c r="B793" s="174"/>
      <c r="C793" s="174"/>
      <c r="D793" s="3"/>
      <c r="E793" s="987"/>
      <c r="F793" s="987"/>
      <c r="G793" s="987"/>
      <c r="I793" s="490"/>
    </row>
    <row r="794" spans="1:9" ht="14.25">
      <c r="A794" s="175"/>
      <c r="B794" s="485" t="s">
        <v>2615</v>
      </c>
      <c r="C794" s="988"/>
      <c r="D794" s="1293" t="s">
        <v>1757</v>
      </c>
      <c r="E794" s="1293"/>
      <c r="F794" s="1293"/>
      <c r="G794" s="987"/>
      <c r="I794" s="483"/>
    </row>
    <row r="795" spans="1:9" ht="14.25">
      <c r="A795" s="175"/>
      <c r="B795" s="175"/>
      <c r="C795" s="988"/>
      <c r="D795" s="1293"/>
      <c r="E795" s="1293"/>
      <c r="F795" s="1293"/>
      <c r="G795" s="987"/>
      <c r="I795" s="490"/>
    </row>
    <row r="796" spans="1:9" ht="14.25">
      <c r="A796" s="175"/>
      <c r="B796" s="175"/>
      <c r="C796" s="988"/>
      <c r="D796" s="1293"/>
      <c r="E796" s="1293"/>
      <c r="F796" s="1293"/>
      <c r="G796" s="987"/>
      <c r="I796" s="490"/>
    </row>
    <row r="797" spans="1:9" ht="14.25">
      <c r="A797" s="175"/>
      <c r="B797" s="175"/>
      <c r="C797" s="988"/>
      <c r="D797" s="118"/>
      <c r="E797" s="3"/>
      <c r="F797" s="3"/>
      <c r="G797" s="987"/>
      <c r="I797" s="490"/>
    </row>
    <row r="798" spans="1:9" ht="14.25">
      <c r="A798" s="175"/>
      <c r="B798" s="485" t="s">
        <v>2615</v>
      </c>
      <c r="C798" s="988"/>
      <c r="D798" s="1293" t="s">
        <v>1758</v>
      </c>
      <c r="E798" s="1293"/>
      <c r="F798" s="1293"/>
      <c r="G798" s="987"/>
      <c r="I798" s="483"/>
    </row>
    <row r="799" spans="1:9" ht="14.25">
      <c r="A799" s="175"/>
      <c r="B799" s="175"/>
      <c r="C799" s="988"/>
      <c r="D799" s="1293"/>
      <c r="E799" s="1293"/>
      <c r="F799" s="1293"/>
      <c r="G799" s="987"/>
      <c r="I799" s="490"/>
    </row>
    <row r="800" spans="1:9" ht="14.25">
      <c r="A800" s="175"/>
      <c r="B800" s="175"/>
      <c r="C800" s="988"/>
      <c r="D800" s="1293"/>
      <c r="E800" s="1293"/>
      <c r="F800" s="1293"/>
      <c r="G800" s="987"/>
      <c r="I800" s="490"/>
    </row>
    <row r="801" spans="1:9" ht="14.25">
      <c r="A801" s="175"/>
      <c r="B801" s="175"/>
      <c r="C801" s="988"/>
      <c r="D801" s="1293"/>
      <c r="E801" s="1293"/>
      <c r="F801" s="1293"/>
      <c r="G801" s="987"/>
      <c r="I801" s="490"/>
    </row>
    <row r="802" spans="1:9" ht="14.25">
      <c r="A802" s="175"/>
      <c r="B802" s="175"/>
      <c r="C802" s="988"/>
      <c r="D802" s="1293"/>
      <c r="E802" s="1293"/>
      <c r="F802" s="1293"/>
      <c r="G802" s="987"/>
      <c r="I802" s="490"/>
    </row>
    <row r="803" spans="1:9" ht="14.25">
      <c r="A803" s="175"/>
      <c r="B803" s="175"/>
      <c r="C803" s="988"/>
      <c r="D803" s="1293"/>
      <c r="E803" s="1293"/>
      <c r="F803" s="1293"/>
      <c r="G803" s="987"/>
      <c r="I803" s="490"/>
    </row>
    <row r="804" spans="1:9" ht="14.25">
      <c r="A804" s="175"/>
      <c r="B804" s="175"/>
      <c r="C804" s="988"/>
      <c r="D804" s="1293" t="s">
        <v>1801</v>
      </c>
      <c r="E804" s="1293"/>
      <c r="F804" s="1293"/>
      <c r="G804" s="987"/>
      <c r="I804" s="490"/>
    </row>
    <row r="805" spans="1:9" ht="14.25">
      <c r="A805" s="175"/>
      <c r="B805" s="175"/>
      <c r="C805" s="988"/>
      <c r="D805" s="1293"/>
      <c r="E805" s="1293"/>
      <c r="F805" s="1293"/>
      <c r="G805" s="987"/>
      <c r="I805" s="490"/>
    </row>
    <row r="806" spans="1:9" ht="14.25">
      <c r="A806" s="175"/>
      <c r="B806" s="175"/>
      <c r="C806" s="988"/>
      <c r="D806" s="1293"/>
      <c r="E806" s="1293"/>
      <c r="F806" s="1293"/>
      <c r="G806" s="987"/>
      <c r="I806" s="490"/>
    </row>
    <row r="807" spans="1:9" ht="14.25">
      <c r="A807" s="175"/>
      <c r="B807" s="354"/>
      <c r="C807" s="988"/>
      <c r="D807" s="989"/>
      <c r="E807" s="989"/>
      <c r="F807" s="989"/>
      <c r="G807" s="987"/>
      <c r="I807" s="490"/>
    </row>
    <row r="808" spans="1:9" ht="14.25">
      <c r="A808" s="175"/>
      <c r="B808" s="485" t="s">
        <v>2615</v>
      </c>
      <c r="C808" s="988"/>
      <c r="D808" s="1293" t="s">
        <v>1759</v>
      </c>
      <c r="E808" s="1293"/>
      <c r="F808" s="1293"/>
      <c r="G808" s="987"/>
      <c r="I808" s="483"/>
    </row>
    <row r="809" spans="1:9" ht="14.25">
      <c r="A809" s="175"/>
      <c r="B809" s="175"/>
      <c r="C809" s="988"/>
      <c r="D809" s="1293"/>
      <c r="E809" s="1293"/>
      <c r="F809" s="1293"/>
      <c r="G809" s="987"/>
      <c r="I809" s="490"/>
    </row>
    <row r="810" spans="1:9" ht="14.25">
      <c r="A810" s="175"/>
      <c r="B810" s="175"/>
      <c r="C810" s="988"/>
      <c r="D810" s="1293"/>
      <c r="E810" s="1293"/>
      <c r="F810" s="1293"/>
      <c r="G810" s="987"/>
      <c r="I810" s="490"/>
    </row>
    <row r="811" spans="1:9" ht="14.25">
      <c r="A811" s="175"/>
      <c r="B811" s="175"/>
      <c r="C811" s="988"/>
      <c r="D811" s="1293"/>
      <c r="E811" s="1293"/>
      <c r="F811" s="1293"/>
      <c r="G811" s="987"/>
      <c r="I811" s="490"/>
    </row>
    <row r="812" spans="1:9" ht="14.25">
      <c r="A812" s="175"/>
      <c r="B812" s="175"/>
      <c r="C812" s="988"/>
      <c r="D812" s="1293"/>
      <c r="E812" s="1293"/>
      <c r="F812" s="1293"/>
      <c r="G812" s="987"/>
      <c r="I812" s="490"/>
    </row>
    <row r="813" spans="1:9" ht="14.25">
      <c r="A813" s="175"/>
      <c r="B813" s="175"/>
      <c r="C813" s="988"/>
      <c r="D813" s="1293"/>
      <c r="E813" s="1293"/>
      <c r="F813" s="1293"/>
      <c r="G813" s="987"/>
      <c r="I813" s="490"/>
    </row>
    <row r="814" spans="1:9" ht="14.25">
      <c r="A814" s="175"/>
      <c r="B814" s="175"/>
      <c r="C814" s="988"/>
      <c r="D814" s="981"/>
      <c r="E814" s="981"/>
      <c r="F814" s="981"/>
      <c r="G814" s="987"/>
      <c r="I814" s="490"/>
    </row>
    <row r="815" spans="1:9" ht="14.25">
      <c r="A815" s="175"/>
      <c r="B815" s="485" t="s">
        <v>2615</v>
      </c>
      <c r="C815" s="988"/>
      <c r="D815" s="1293" t="s">
        <v>1760</v>
      </c>
      <c r="E815" s="1293"/>
      <c r="F815" s="1293"/>
      <c r="G815" s="987"/>
      <c r="I815" s="483"/>
    </row>
    <row r="816" spans="1:9" ht="14.25">
      <c r="A816" s="175"/>
      <c r="B816" s="175"/>
      <c r="C816" s="988"/>
      <c r="D816" s="1293"/>
      <c r="E816" s="1293"/>
      <c r="F816" s="1293"/>
      <c r="G816" s="987"/>
      <c r="I816" s="490"/>
    </row>
    <row r="817" spans="1:9" ht="14.25">
      <c r="A817" s="175"/>
      <c r="B817" s="175"/>
      <c r="C817" s="988"/>
      <c r="D817" s="1293"/>
      <c r="E817" s="1293"/>
      <c r="F817" s="1293"/>
      <c r="G817" s="987"/>
      <c r="I817" s="490"/>
    </row>
    <row r="818" spans="1:9" ht="14.25">
      <c r="A818" s="175"/>
      <c r="B818" s="175"/>
      <c r="C818" s="988"/>
      <c r="D818" s="1293"/>
      <c r="E818" s="1293"/>
      <c r="F818" s="1293"/>
      <c r="G818" s="987"/>
      <c r="I818" s="490"/>
    </row>
    <row r="819" spans="1:9" ht="14.25">
      <c r="A819" s="175"/>
      <c r="B819" s="175"/>
      <c r="C819" s="988"/>
      <c r="D819" s="1293"/>
      <c r="E819" s="1293"/>
      <c r="F819" s="1293"/>
      <c r="G819" s="987"/>
      <c r="I819" s="490"/>
    </row>
    <row r="820" spans="1:9" ht="14.25">
      <c r="A820" s="175"/>
      <c r="B820" s="175"/>
      <c r="C820" s="988"/>
      <c r="D820" s="1293"/>
      <c r="E820" s="1293"/>
      <c r="F820" s="1293"/>
      <c r="G820" s="987"/>
      <c r="I820" s="490"/>
    </row>
    <row r="821" spans="1:9" ht="14.25">
      <c r="A821" s="175"/>
      <c r="B821" s="175"/>
      <c r="C821" s="988"/>
      <c r="D821" s="981"/>
      <c r="E821" s="981"/>
      <c r="F821" s="981"/>
      <c r="G821" s="987"/>
      <c r="I821" s="490"/>
    </row>
    <row r="822" spans="1:9" ht="14.25">
      <c r="A822" s="175"/>
      <c r="B822" s="485" t="s">
        <v>2615</v>
      </c>
      <c r="C822" s="988"/>
      <c r="D822" s="1288" t="s">
        <v>1761</v>
      </c>
      <c r="E822" s="1288"/>
      <c r="F822" s="1288"/>
      <c r="G822" s="987"/>
      <c r="I822" s="483"/>
    </row>
    <row r="823" spans="1:9" ht="14.25">
      <c r="A823" s="175"/>
      <c r="B823" s="175"/>
      <c r="C823" s="988"/>
      <c r="D823" s="1288"/>
      <c r="E823" s="1288"/>
      <c r="F823" s="1288"/>
      <c r="G823" s="987"/>
      <c r="I823" s="490"/>
    </row>
    <row r="824" spans="1:9">
      <c r="A824" s="13"/>
      <c r="B824" s="13"/>
      <c r="C824" s="988"/>
      <c r="D824" s="1288"/>
      <c r="E824" s="1288"/>
      <c r="F824" s="1288"/>
      <c r="G824" s="987"/>
      <c r="I824" s="490"/>
    </row>
    <row r="825" spans="1:9" ht="14.25">
      <c r="A825" s="175"/>
      <c r="B825" s="13"/>
      <c r="C825" s="988"/>
      <c r="D825" s="1288"/>
      <c r="E825" s="1288"/>
      <c r="F825" s="1288"/>
      <c r="G825" s="987"/>
      <c r="I825" s="490"/>
    </row>
    <row r="826" spans="1:9" ht="12.75" customHeight="1">
      <c r="A826" s="175"/>
      <c r="B826" s="13"/>
      <c r="C826" s="988"/>
      <c r="D826" s="1288"/>
      <c r="E826" s="1288"/>
      <c r="F826" s="1288"/>
      <c r="G826" s="987"/>
      <c r="I826" s="490"/>
    </row>
    <row r="827" spans="1:9" ht="12.75" customHeight="1">
      <c r="A827" s="175"/>
      <c r="B827" s="13"/>
      <c r="C827" s="988"/>
      <c r="D827" s="1288"/>
      <c r="E827" s="1288"/>
      <c r="F827" s="1288"/>
      <c r="G827" s="987"/>
      <c r="I827" s="490"/>
    </row>
    <row r="828" spans="1:9" ht="12.75" customHeight="1">
      <c r="A828" s="13"/>
      <c r="B828" s="13"/>
      <c r="C828" s="988"/>
      <c r="D828" s="987"/>
      <c r="E828" s="3"/>
      <c r="F828" s="3"/>
      <c r="G828" s="987"/>
      <c r="I828" s="490"/>
    </row>
    <row r="829" spans="1:9" ht="12.75" customHeight="1">
      <c r="A829" s="1284" t="s">
        <v>1762</v>
      </c>
      <c r="B829" s="1284"/>
      <c r="C829" s="1284"/>
      <c r="D829" s="1284"/>
      <c r="E829" s="1284"/>
      <c r="F829" s="1284"/>
      <c r="G829" s="1284"/>
      <c r="H829" s="1027"/>
      <c r="I829" s="1152"/>
    </row>
    <row r="830" spans="1:9" ht="12.75" customHeight="1">
      <c r="A830" s="172"/>
      <c r="B830" s="172"/>
      <c r="C830" s="988"/>
      <c r="D830" s="987"/>
      <c r="E830" s="987"/>
      <c r="F830" s="987"/>
      <c r="G830" s="987"/>
      <c r="I830" s="490"/>
    </row>
    <row r="831" spans="1:9" ht="12.75" customHeight="1">
      <c r="A831" s="175"/>
      <c r="B831" s="175"/>
      <c r="C831" s="354"/>
      <c r="D831" s="1304" t="s">
        <v>1802</v>
      </c>
      <c r="E831" s="1304"/>
      <c r="F831" s="1304"/>
      <c r="G831" s="3"/>
      <c r="I831" s="490"/>
    </row>
    <row r="832" spans="1:9" ht="14.25" customHeight="1">
      <c r="A832" s="175"/>
      <c r="B832" s="175"/>
      <c r="C832" s="354"/>
      <c r="D832" s="1261" t="s">
        <v>1763</v>
      </c>
      <c r="E832" s="1261"/>
      <c r="F832" s="1261"/>
      <c r="G832" s="3"/>
      <c r="I832" s="490"/>
    </row>
    <row r="833" spans="1:9" ht="12.75" customHeight="1">
      <c r="A833" s="175"/>
      <c r="B833" s="175"/>
      <c r="C833" s="354"/>
      <c r="D833" s="441"/>
      <c r="E833" s="441"/>
      <c r="F833" s="441"/>
      <c r="G833" s="3"/>
      <c r="I833" s="490"/>
    </row>
    <row r="834" spans="1:9" ht="12.75" customHeight="1">
      <c r="A834" s="354"/>
      <c r="B834" s="485" t="s">
        <v>2614</v>
      </c>
      <c r="C834" s="988"/>
      <c r="D834" s="1261" t="s">
        <v>1764</v>
      </c>
      <c r="E834" s="1261"/>
      <c r="F834" s="1261"/>
      <c r="G834" s="3"/>
      <c r="I834" s="490" t="s">
        <v>1879</v>
      </c>
    </row>
    <row r="835" spans="1:9" ht="14.25" customHeight="1">
      <c r="A835" s="13"/>
      <c r="B835" s="13"/>
      <c r="C835" s="988"/>
      <c r="E835" s="1035" t="s">
        <v>1895</v>
      </c>
      <c r="F835" s="1037"/>
      <c r="G835" s="3"/>
      <c r="I835" s="490"/>
    </row>
    <row r="836" spans="1:9" ht="12.75" customHeight="1">
      <c r="A836" s="13"/>
      <c r="B836" s="13"/>
      <c r="C836" s="988"/>
      <c r="D836" s="990"/>
      <c r="E836" s="3"/>
      <c r="F836" s="3"/>
      <c r="G836" s="3"/>
      <c r="I836" s="490"/>
    </row>
    <row r="837" spans="1:9" ht="14.25" hidden="1" customHeight="1">
      <c r="A837" s="13"/>
      <c r="B837" s="485" t="s">
        <v>307</v>
      </c>
      <c r="C837" s="988"/>
      <c r="D837" s="1305" t="s">
        <v>2075</v>
      </c>
      <c r="E837" s="1305"/>
      <c r="F837" s="1305"/>
      <c r="G837" s="3"/>
      <c r="I837" s="490"/>
    </row>
    <row r="838" spans="1:9" ht="12.75" hidden="1" customHeight="1">
      <c r="A838" s="13"/>
      <c r="B838" s="13"/>
      <c r="C838" s="988"/>
      <c r="D838" s="1305"/>
      <c r="E838" s="1305"/>
      <c r="F838" s="1305"/>
      <c r="G838" s="3"/>
      <c r="I838" s="490"/>
    </row>
    <row r="839" spans="1:9" ht="12.75" hidden="1" customHeight="1">
      <c r="A839" s="13"/>
      <c r="B839" s="13"/>
      <c r="C839" s="988"/>
      <c r="D839" s="1305"/>
      <c r="E839" s="1305"/>
      <c r="F839" s="1305"/>
      <c r="G839" s="3"/>
      <c r="I839" s="490"/>
    </row>
    <row r="840" spans="1:9" ht="12.75" hidden="1" customHeight="1">
      <c r="A840" s="13"/>
      <c r="B840" s="13"/>
      <c r="C840" s="988"/>
      <c r="D840" s="1305"/>
      <c r="E840" s="1305"/>
      <c r="F840" s="1305"/>
      <c r="G840" s="3"/>
      <c r="I840" s="490"/>
    </row>
    <row r="841" spans="1:9" ht="12.75" hidden="1" customHeight="1">
      <c r="A841" s="13"/>
      <c r="B841" s="13"/>
      <c r="C841" s="988"/>
      <c r="D841" s="1305"/>
      <c r="E841" s="1305"/>
      <c r="F841" s="1305"/>
      <c r="G841" s="3"/>
      <c r="I841" s="490"/>
    </row>
    <row r="842" spans="1:9" ht="12.75" hidden="1" customHeight="1">
      <c r="A842" s="13"/>
      <c r="B842" s="13"/>
      <c r="C842" s="988"/>
      <c r="D842" s="1305"/>
      <c r="E842" s="1305"/>
      <c r="F842" s="1305"/>
      <c r="G842" s="3"/>
      <c r="I842" s="490"/>
    </row>
    <row r="843" spans="1:9" ht="12.75" hidden="1" customHeight="1">
      <c r="A843" s="13"/>
      <c r="B843" s="13"/>
      <c r="C843" s="988"/>
      <c r="D843" s="1305"/>
      <c r="E843" s="1305"/>
      <c r="F843" s="1305"/>
      <c r="G843" s="3"/>
      <c r="I843" s="490"/>
    </row>
    <row r="844" spans="1:9" ht="12.75" hidden="1" customHeight="1">
      <c r="A844" s="13"/>
      <c r="B844" s="13"/>
      <c r="C844" s="988"/>
      <c r="D844" s="1305"/>
      <c r="E844" s="1305"/>
      <c r="F844" s="1305"/>
      <c r="G844" s="3"/>
      <c r="I844" s="490"/>
    </row>
    <row r="845" spans="1:9" ht="12.75" hidden="1" customHeight="1">
      <c r="A845" s="13"/>
      <c r="B845" s="13"/>
      <c r="C845" s="988"/>
      <c r="D845" s="1305"/>
      <c r="E845" s="1305"/>
      <c r="F845" s="1305"/>
      <c r="G845" s="3"/>
      <c r="I845" s="490"/>
    </row>
    <row r="846" spans="1:9" ht="12.75" hidden="1" customHeight="1">
      <c r="A846" s="13"/>
      <c r="B846" s="13"/>
      <c r="C846" s="988"/>
      <c r="D846" s="1305"/>
      <c r="E846" s="1305"/>
      <c r="F846" s="1305"/>
      <c r="G846" s="3"/>
      <c r="I846" s="490"/>
    </row>
    <row r="847" spans="1:9" ht="12.75" hidden="1" customHeight="1">
      <c r="A847" s="13"/>
      <c r="B847" s="13"/>
      <c r="C847" s="988"/>
      <c r="D847" s="990"/>
      <c r="E847" s="3"/>
      <c r="F847" s="3"/>
      <c r="G847" s="3"/>
      <c r="I847" s="490"/>
    </row>
    <row r="848" spans="1:9" ht="12.75" customHeight="1">
      <c r="A848" s="175"/>
      <c r="B848" s="485" t="s">
        <v>2614</v>
      </c>
      <c r="C848" s="988"/>
      <c r="D848" s="1261" t="s">
        <v>1765</v>
      </c>
      <c r="E848" s="1261"/>
      <c r="F848" s="1261"/>
      <c r="G848" s="3"/>
      <c r="I848" s="490" t="s">
        <v>1882</v>
      </c>
    </row>
    <row r="849" spans="1:9" ht="12.75" customHeight="1">
      <c r="A849" s="175"/>
      <c r="B849" s="175"/>
      <c r="C849" s="988"/>
      <c r="D849" s="1261"/>
      <c r="E849" s="1261"/>
      <c r="F849" s="1261"/>
      <c r="G849" s="3"/>
      <c r="I849" s="490"/>
    </row>
    <row r="850" spans="1:9" ht="12.75" customHeight="1">
      <c r="A850" s="175"/>
      <c r="B850" s="175"/>
      <c r="C850" s="988"/>
      <c r="D850" s="1261"/>
      <c r="E850" s="1261"/>
      <c r="F850" s="1261"/>
      <c r="G850" s="3"/>
      <c r="I850" s="490"/>
    </row>
    <row r="851" spans="1:9" ht="12.75" customHeight="1">
      <c r="A851" s="175"/>
      <c r="B851" s="175"/>
      <c r="C851" s="988"/>
      <c r="D851" s="118"/>
      <c r="E851" s="3"/>
      <c r="F851" s="3"/>
      <c r="G851" s="3"/>
      <c r="I851" s="490"/>
    </row>
    <row r="852" spans="1:9" ht="12.75" customHeight="1">
      <c r="A852" s="991"/>
      <c r="B852" s="485" t="s">
        <v>2615</v>
      </c>
      <c r="C852" s="988"/>
      <c r="D852" s="1304" t="s">
        <v>1766</v>
      </c>
      <c r="E852" s="1304"/>
      <c r="F852" s="1304"/>
      <c r="G852" s="3"/>
      <c r="I852" s="490"/>
    </row>
    <row r="853" spans="1:9" ht="12.75" customHeight="1">
      <c r="A853" s="354"/>
      <c r="B853" s="991"/>
      <c r="C853" s="988"/>
      <c r="D853" s="1304"/>
      <c r="E853" s="1304"/>
      <c r="F853" s="1304"/>
      <c r="G853" s="3"/>
      <c r="I853" s="490"/>
    </row>
    <row r="854" spans="1:9" ht="12.75" customHeight="1">
      <c r="A854" s="175"/>
      <c r="B854" s="354"/>
      <c r="C854" s="988"/>
      <c r="D854" s="1261" t="s">
        <v>2068</v>
      </c>
      <c r="E854" s="1261"/>
      <c r="F854" s="1261"/>
      <c r="G854" s="3"/>
      <c r="I854" s="490"/>
    </row>
    <row r="855" spans="1:9" ht="12.75" customHeight="1">
      <c r="A855" s="175"/>
      <c r="B855" s="175"/>
      <c r="C855" s="988"/>
      <c r="D855" s="1261"/>
      <c r="E855" s="1261"/>
      <c r="F855" s="1261"/>
      <c r="G855" s="3"/>
      <c r="I855" s="490"/>
    </row>
    <row r="856" spans="1:9" ht="12.75" customHeight="1">
      <c r="A856" s="175"/>
      <c r="B856" s="175"/>
      <c r="C856" s="988"/>
      <c r="D856" s="1261"/>
      <c r="E856" s="1261"/>
      <c r="F856" s="1261"/>
      <c r="G856" s="3"/>
      <c r="I856" s="490"/>
    </row>
    <row r="857" spans="1:9" ht="12.75" customHeight="1">
      <c r="A857" s="175"/>
      <c r="B857" s="175"/>
      <c r="C857" s="988"/>
      <c r="D857" s="1261"/>
      <c r="E857" s="1261"/>
      <c r="F857" s="1261"/>
      <c r="G857" s="3"/>
      <c r="I857" s="490"/>
    </row>
    <row r="858" spans="1:9" ht="12.75" customHeight="1">
      <c r="A858" s="175"/>
      <c r="B858" s="175"/>
      <c r="C858" s="988"/>
      <c r="D858" s="1261"/>
      <c r="E858" s="1261"/>
      <c r="F858" s="1261"/>
      <c r="G858" s="3"/>
      <c r="I858" s="490"/>
    </row>
    <row r="859" spans="1:9" ht="12.75" customHeight="1">
      <c r="A859" s="175"/>
      <c r="B859" s="175"/>
      <c r="C859" s="988"/>
      <c r="D859" s="1261"/>
      <c r="E859" s="1261"/>
      <c r="F859" s="1261"/>
      <c r="G859" s="3"/>
      <c r="I859" s="490"/>
    </row>
    <row r="860" spans="1:9" ht="12.75" customHeight="1">
      <c r="A860" s="175"/>
      <c r="B860" s="175"/>
      <c r="C860" s="988"/>
      <c r="D860" s="118"/>
      <c r="E860" s="3"/>
      <c r="F860" s="3"/>
      <c r="G860" s="3"/>
      <c r="I860" s="490"/>
    </row>
    <row r="861" spans="1:9" ht="12.75" customHeight="1">
      <c r="A861" s="175"/>
      <c r="B861" s="485" t="s">
        <v>2615</v>
      </c>
      <c r="C861" s="988"/>
      <c r="D861" s="1261" t="s">
        <v>1767</v>
      </c>
      <c r="E861" s="1261"/>
      <c r="F861" s="1261"/>
      <c r="G861" s="3"/>
      <c r="I861" s="490" t="s">
        <v>1880</v>
      </c>
    </row>
    <row r="862" spans="1:9" ht="12.75" customHeight="1">
      <c r="A862" s="175"/>
      <c r="B862" s="175"/>
      <c r="C862" s="988"/>
      <c r="D862" s="1261" t="s">
        <v>1768</v>
      </c>
      <c r="E862" s="1261"/>
      <c r="F862" s="1261"/>
      <c r="G862" s="3"/>
      <c r="I862" s="490"/>
    </row>
    <row r="863" spans="1:9" ht="12.75" customHeight="1">
      <c r="A863" s="175"/>
      <c r="B863" s="175"/>
      <c r="C863" s="988"/>
      <c r="E863" s="1035" t="s">
        <v>1897</v>
      </c>
      <c r="F863" s="1037"/>
      <c r="G863" s="3"/>
      <c r="I863" s="490"/>
    </row>
    <row r="864" spans="1:9" ht="12.75" customHeight="1">
      <c r="A864" s="175"/>
      <c r="B864" s="175"/>
      <c r="C864" s="988"/>
      <c r="D864" s="118"/>
      <c r="E864" s="3"/>
      <c r="F864" s="3"/>
      <c r="G864" s="3"/>
      <c r="I864" s="490"/>
    </row>
    <row r="865" spans="1:9" ht="12.75" customHeight="1">
      <c r="A865" s="175"/>
      <c r="B865" s="485" t="s">
        <v>2615</v>
      </c>
      <c r="C865" s="988"/>
      <c r="D865" s="1261" t="s">
        <v>1769</v>
      </c>
      <c r="E865" s="1261"/>
      <c r="F865" s="1261"/>
      <c r="G865" s="3"/>
      <c r="I865" s="490" t="s">
        <v>1883</v>
      </c>
    </row>
    <row r="866" spans="1:9" ht="12.75" customHeight="1">
      <c r="A866" s="175"/>
      <c r="B866" s="175"/>
      <c r="C866" s="988"/>
      <c r="D866" s="1261"/>
      <c r="E866" s="1261"/>
      <c r="F866" s="1261"/>
      <c r="G866" s="3"/>
      <c r="I866" s="490"/>
    </row>
    <row r="867" spans="1:9" ht="12.75" customHeight="1">
      <c r="A867" s="175"/>
      <c r="B867" s="175"/>
      <c r="C867" s="988"/>
      <c r="D867" s="1261"/>
      <c r="E867" s="1261"/>
      <c r="F867" s="1261"/>
      <c r="G867" s="3"/>
      <c r="I867" s="490"/>
    </row>
    <row r="868" spans="1:9" ht="12.75" customHeight="1">
      <c r="A868" s="175"/>
      <c r="B868" s="175"/>
      <c r="C868" s="988"/>
      <c r="D868" s="1261"/>
      <c r="E868" s="1261"/>
      <c r="F868" s="1261"/>
      <c r="G868" s="3"/>
      <c r="I868" s="490"/>
    </row>
    <row r="869" spans="1:9" ht="12.75" customHeight="1">
      <c r="A869" s="172"/>
      <c r="B869" s="172"/>
      <c r="C869" s="172"/>
      <c r="D869" s="118"/>
      <c r="E869" s="3"/>
      <c r="F869" s="3"/>
      <c r="G869" s="3"/>
      <c r="I869" s="490"/>
    </row>
    <row r="870" spans="1:9" ht="12.75" customHeight="1">
      <c r="A870" s="982" t="s">
        <v>1770</v>
      </c>
      <c r="B870" s="982"/>
      <c r="C870" s="992"/>
      <c r="D870" s="992"/>
      <c r="E870" s="992"/>
      <c r="F870" s="992"/>
      <c r="G870" s="992"/>
      <c r="H870" s="1027"/>
      <c r="I870" s="1152"/>
    </row>
    <row r="871" spans="1:9" ht="12.75" customHeight="1">
      <c r="A871" s="172"/>
      <c r="B871" s="172"/>
      <c r="C871" s="172"/>
      <c r="D871" s="993"/>
      <c r="E871" s="3"/>
      <c r="F871" s="3"/>
      <c r="G871" s="3"/>
      <c r="I871" s="490"/>
    </row>
    <row r="872" spans="1:9" ht="12.75" customHeight="1">
      <c r="A872" s="354"/>
      <c r="B872" s="354"/>
      <c r="C872" s="174"/>
      <c r="D872" s="1294" t="s">
        <v>1803</v>
      </c>
      <c r="E872" s="1294"/>
      <c r="F872" s="1294"/>
      <c r="G872" s="987"/>
      <c r="I872" s="490"/>
    </row>
    <row r="873" spans="1:9" ht="12.75" customHeight="1">
      <c r="A873" s="354"/>
      <c r="B873" s="354"/>
      <c r="C873" s="174"/>
      <c r="D873" s="1303" t="s">
        <v>1771</v>
      </c>
      <c r="E873" s="1303"/>
      <c r="F873" s="1303"/>
      <c r="G873" s="987"/>
      <c r="I873" s="490"/>
    </row>
    <row r="874" spans="1:9" ht="12.75" customHeight="1">
      <c r="A874" s="354"/>
      <c r="B874" s="354"/>
      <c r="C874" s="174"/>
      <c r="D874" s="994"/>
      <c r="E874" s="994"/>
      <c r="F874" s="994"/>
      <c r="G874" s="987"/>
      <c r="I874" s="490"/>
    </row>
    <row r="875" spans="1:9" ht="12.75" customHeight="1">
      <c r="A875" s="175"/>
      <c r="B875" s="485" t="s">
        <v>2614</v>
      </c>
      <c r="C875" s="354"/>
      <c r="D875" s="1287" t="s">
        <v>1772</v>
      </c>
      <c r="E875" s="1287"/>
      <c r="F875" s="1287"/>
      <c r="G875" s="987"/>
      <c r="I875" s="490" t="s">
        <v>1880</v>
      </c>
    </row>
    <row r="876" spans="1:9" ht="12.75" customHeight="1">
      <c r="A876" s="354"/>
      <c r="B876" s="354"/>
      <c r="C876" s="354"/>
      <c r="D876" s="2" t="s">
        <v>1747</v>
      </c>
      <c r="E876" s="1035" t="s">
        <v>1897</v>
      </c>
      <c r="F876" s="1038"/>
      <c r="G876" s="987"/>
      <c r="I876" s="490"/>
    </row>
    <row r="877" spans="1:9" ht="12.75" customHeight="1">
      <c r="A877" s="354"/>
      <c r="B877" s="354"/>
      <c r="C877" s="354"/>
      <c r="D877" s="118"/>
      <c r="E877" s="987"/>
      <c r="F877" s="987"/>
      <c r="G877" s="987"/>
      <c r="I877" s="490"/>
    </row>
    <row r="878" spans="1:9" ht="12.75" customHeight="1">
      <c r="A878" s="175"/>
      <c r="B878" s="485" t="s">
        <v>2614</v>
      </c>
      <c r="C878" s="354"/>
      <c r="D878" s="1261" t="s">
        <v>1773</v>
      </c>
      <c r="E878" s="1310"/>
      <c r="F878" s="1310"/>
      <c r="G878" s="3"/>
      <c r="I878" s="490" t="s">
        <v>1883</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2615</v>
      </c>
      <c r="C881" s="354"/>
      <c r="D881" s="1311" t="s">
        <v>1774</v>
      </c>
      <c r="E881" s="1311"/>
      <c r="F881" s="1311"/>
      <c r="G881" s="987"/>
      <c r="I881" s="490"/>
    </row>
    <row r="882" spans="1:9" ht="12.75" customHeight="1">
      <c r="A882" s="354"/>
      <c r="B882" s="995"/>
      <c r="C882" s="354"/>
      <c r="D882" s="1311"/>
      <c r="E882" s="1311"/>
      <c r="F882" s="1311"/>
      <c r="G882" s="987"/>
      <c r="I882" s="490"/>
    </row>
    <row r="883" spans="1:9" ht="12.75" customHeight="1">
      <c r="A883" s="175"/>
      <c r="B883"/>
      <c r="C883" s="354"/>
      <c r="D883" s="1261" t="s">
        <v>2068</v>
      </c>
      <c r="E883" s="1261"/>
      <c r="F883" s="1261"/>
      <c r="G883" s="987"/>
      <c r="I883" s="490"/>
    </row>
    <row r="884" spans="1:9" ht="12.75" customHeight="1">
      <c r="A884" s="175"/>
      <c r="B884" s="175"/>
      <c r="C884" s="354"/>
      <c r="D884" s="1261"/>
      <c r="E884" s="1261"/>
      <c r="F884" s="1261"/>
      <c r="G884" s="987"/>
      <c r="I884" s="490"/>
    </row>
    <row r="885" spans="1:9" ht="12.75" customHeight="1">
      <c r="A885" s="175"/>
      <c r="B885" s="175"/>
      <c r="C885" s="354"/>
      <c r="D885" s="1261"/>
      <c r="E885" s="1261"/>
      <c r="F885" s="1261"/>
      <c r="G885" s="987"/>
      <c r="I885" s="490"/>
    </row>
    <row r="886" spans="1:9" ht="12.75" customHeight="1">
      <c r="A886" s="175"/>
      <c r="B886" s="175"/>
      <c r="C886" s="354"/>
      <c r="D886" s="1261"/>
      <c r="E886" s="1261"/>
      <c r="F886" s="1261"/>
      <c r="G886" s="987"/>
      <c r="I886" s="490"/>
    </row>
    <row r="887" spans="1:9" ht="12.75" customHeight="1">
      <c r="A887" s="175"/>
      <c r="B887" s="175"/>
      <c r="C887" s="354"/>
      <c r="D887" s="1261"/>
      <c r="E887" s="1261"/>
      <c r="F887" s="1261"/>
      <c r="G887" s="987"/>
      <c r="I887" s="490"/>
    </row>
    <row r="888" spans="1:9" ht="12.75" customHeight="1">
      <c r="A888" s="175"/>
      <c r="B888" s="175"/>
      <c r="C888" s="354"/>
      <c r="D888" s="1261"/>
      <c r="E888" s="1261"/>
      <c r="F888" s="1261"/>
      <c r="G888" s="987"/>
      <c r="I888" s="490"/>
    </row>
    <row r="889" spans="1:9" ht="12.75" customHeight="1">
      <c r="A889" s="175"/>
      <c r="B889" s="175"/>
      <c r="C889" s="354"/>
      <c r="D889" s="118"/>
      <c r="E889" s="987"/>
      <c r="F889" s="987"/>
      <c r="G889" s="987"/>
      <c r="I889" s="490"/>
    </row>
    <row r="890" spans="1:9" ht="12.75" customHeight="1">
      <c r="A890" s="175"/>
      <c r="B890" s="485" t="s">
        <v>2615</v>
      </c>
      <c r="C890" s="354"/>
      <c r="D890" s="1286" t="s">
        <v>1767</v>
      </c>
      <c r="E890" s="1286"/>
      <c r="F890" s="1286"/>
      <c r="G890" s="987"/>
      <c r="I890" s="490"/>
    </row>
    <row r="891" spans="1:9" ht="12.75" customHeight="1">
      <c r="A891" s="175"/>
      <c r="B891" s="175"/>
      <c r="C891" s="354"/>
      <c r="D891" s="1286" t="s">
        <v>1768</v>
      </c>
      <c r="E891" s="1286"/>
      <c r="F891" s="1286"/>
      <c r="G891" s="987"/>
      <c r="I891" s="490"/>
    </row>
    <row r="892" spans="1:9" ht="12.75" customHeight="1">
      <c r="A892" s="175"/>
      <c r="B892" s="175"/>
      <c r="C892" s="354"/>
      <c r="D892" s="2" t="s">
        <v>1269</v>
      </c>
      <c r="E892" s="1035" t="s">
        <v>1897</v>
      </c>
      <c r="F892" s="1039"/>
      <c r="G892" s="987"/>
      <c r="I892" s="490"/>
    </row>
    <row r="893" spans="1:9" ht="12.75" customHeight="1">
      <c r="A893" s="175"/>
      <c r="B893" s="175"/>
      <c r="C893" s="354"/>
      <c r="D893" s="118"/>
      <c r="E893" s="987"/>
      <c r="F893" s="987"/>
      <c r="G893" s="987"/>
      <c r="I893" s="490"/>
    </row>
    <row r="894" spans="1:9" ht="12.75" customHeight="1">
      <c r="A894" s="175"/>
      <c r="B894" s="485" t="s">
        <v>2615</v>
      </c>
      <c r="C894" s="354"/>
      <c r="D894" s="1261" t="s">
        <v>1769</v>
      </c>
      <c r="E894" s="1261"/>
      <c r="F894" s="1261"/>
      <c r="G894" s="987"/>
      <c r="I894" s="490"/>
    </row>
    <row r="895" spans="1:9" ht="12.75" customHeight="1">
      <c r="A895" s="175"/>
      <c r="B895" s="175"/>
      <c r="C895" s="354"/>
      <c r="D895" s="1261"/>
      <c r="E895" s="1261"/>
      <c r="F895" s="1261"/>
      <c r="G895" s="987"/>
      <c r="I895" s="490"/>
    </row>
    <row r="896" spans="1:9" ht="12.75" customHeight="1">
      <c r="A896" s="175"/>
      <c r="B896" s="175"/>
      <c r="C896" s="354"/>
      <c r="D896" s="1261"/>
      <c r="E896" s="1261"/>
      <c r="F896" s="1261"/>
      <c r="G896" s="987"/>
      <c r="I896" s="490"/>
    </row>
    <row r="897" spans="1:9" ht="12.75" customHeight="1">
      <c r="A897" s="175"/>
      <c r="B897" s="175"/>
      <c r="C897" s="354"/>
      <c r="D897" s="1261"/>
      <c r="E897" s="1261"/>
      <c r="F897" s="1261"/>
      <c r="G897" s="987"/>
      <c r="I897" s="490"/>
    </row>
    <row r="898" spans="1:9" ht="12.75" customHeight="1">
      <c r="A898" s="118"/>
      <c r="B898" s="118"/>
      <c r="C898" s="988"/>
      <c r="D898" s="987"/>
      <c r="E898" s="987"/>
      <c r="F898" s="987"/>
      <c r="G898" s="987"/>
      <c r="I898" s="490"/>
    </row>
    <row r="899" spans="1:9" ht="12.75" customHeight="1">
      <c r="A899" s="1284" t="s">
        <v>1804</v>
      </c>
      <c r="B899" s="1284"/>
      <c r="C899" s="1284"/>
      <c r="D899" s="1284"/>
      <c r="E899" s="1284"/>
      <c r="F899" s="1284"/>
      <c r="G899" s="1284"/>
      <c r="H899" s="1027"/>
      <c r="I899" s="1152"/>
    </row>
    <row r="900" spans="1:9" ht="12.75" customHeight="1">
      <c r="A900" s="57"/>
      <c r="B900" s="57"/>
      <c r="C900" s="57"/>
      <c r="D900" s="57"/>
      <c r="E900" s="57"/>
      <c r="F900" s="57"/>
      <c r="G900" s="57"/>
      <c r="I900" s="490"/>
    </row>
    <row r="901" spans="1:9" ht="12.75" customHeight="1">
      <c r="A901" s="57"/>
      <c r="B901" s="57"/>
      <c r="C901" s="57"/>
      <c r="D901" s="1282" t="s">
        <v>1810</v>
      </c>
      <c r="E901" s="1282"/>
      <c r="F901" s="1282"/>
      <c r="G901" s="57"/>
      <c r="I901" s="490"/>
    </row>
    <row r="902" spans="1:9" ht="12.75" customHeight="1">
      <c r="A902" s="57"/>
      <c r="B902" s="57"/>
      <c r="C902" s="57"/>
      <c r="D902" s="980"/>
      <c r="E902" s="980"/>
      <c r="F902" s="980"/>
      <c r="G902" s="57"/>
      <c r="I902" s="490"/>
    </row>
    <row r="903" spans="1:9" ht="12.75" customHeight="1">
      <c r="A903" s="57"/>
      <c r="B903" s="485" t="s">
        <v>2614</v>
      </c>
      <c r="C903" s="57"/>
      <c r="D903" s="983" t="s">
        <v>1811</v>
      </c>
      <c r="E903" s="980"/>
      <c r="F903" s="980"/>
      <c r="G903" s="57"/>
      <c r="I903" s="490"/>
    </row>
    <row r="904" spans="1:9" ht="12.75" customHeight="1">
      <c r="A904" s="57"/>
      <c r="B904" s="57"/>
      <c r="C904" s="57"/>
      <c r="D904" s="980"/>
      <c r="E904" s="980"/>
      <c r="F904" s="980"/>
      <c r="G904" s="57"/>
      <c r="I904" s="490"/>
    </row>
    <row r="905" spans="1:9" ht="12.75" customHeight="1">
      <c r="A905" s="354"/>
      <c r="B905" s="354"/>
      <c r="C905" s="988"/>
      <c r="D905" s="1282" t="s">
        <v>1805</v>
      </c>
      <c r="E905" s="1282"/>
      <c r="F905" s="1282"/>
      <c r="G905" s="987"/>
      <c r="I905" s="490"/>
    </row>
    <row r="906" spans="1:9" ht="12.75" customHeight="1">
      <c r="A906" s="172"/>
      <c r="B906" s="172"/>
      <c r="C906" s="172"/>
      <c r="D906" s="1287" t="s">
        <v>1775</v>
      </c>
      <c r="E906" s="1287"/>
      <c r="F906" s="1287"/>
      <c r="G906" s="987"/>
      <c r="I906" s="490"/>
    </row>
    <row r="907" spans="1:9" ht="12.75" customHeight="1">
      <c r="A907" s="988"/>
      <c r="B907" s="988"/>
      <c r="C907" s="988"/>
      <c r="D907" s="2"/>
      <c r="E907" s="987"/>
      <c r="F907" s="987"/>
      <c r="G907" s="987"/>
      <c r="I907" s="490"/>
    </row>
    <row r="908" spans="1:9" ht="12.75" customHeight="1">
      <c r="A908" s="175"/>
      <c r="B908" s="485" t="s">
        <v>2614</v>
      </c>
      <c r="C908" s="354"/>
      <c r="D908" s="1261" t="s">
        <v>1779</v>
      </c>
      <c r="E908" s="1261"/>
      <c r="F908" s="1261"/>
      <c r="G908" s="3"/>
      <c r="I908" s="490"/>
    </row>
    <row r="909" spans="1:9" ht="12.75" customHeight="1">
      <c r="A909" s="354"/>
      <c r="B909" s="354"/>
      <c r="C909" s="354"/>
      <c r="D909" s="1261"/>
      <c r="E909" s="1261"/>
      <c r="F909" s="1261"/>
      <c r="G909" s="3"/>
      <c r="I909" s="490"/>
    </row>
    <row r="910" spans="1:9" ht="12.75" customHeight="1">
      <c r="A910" s="172"/>
      <c r="B910" s="172"/>
      <c r="C910" s="172"/>
      <c r="D910" s="1261" t="s">
        <v>1778</v>
      </c>
      <c r="E910" s="1261"/>
      <c r="F910" s="1261"/>
      <c r="G910" s="987"/>
      <c r="I910" s="490"/>
    </row>
    <row r="911" spans="1:9" ht="12.75" customHeight="1">
      <c r="A911" s="172"/>
      <c r="B911" s="172"/>
      <c r="C911" s="172"/>
      <c r="D911" s="1261"/>
      <c r="E911" s="1261"/>
      <c r="F911" s="1261"/>
      <c r="G911" s="987"/>
      <c r="I911" s="490"/>
    </row>
    <row r="912" spans="1:9" ht="12.75" customHeight="1">
      <c r="A912" s="172"/>
      <c r="B912" s="172"/>
      <c r="C912" s="172"/>
      <c r="D912" s="3"/>
      <c r="E912" s="3"/>
      <c r="F912" s="987"/>
      <c r="G912" s="987"/>
      <c r="I912" s="490"/>
    </row>
    <row r="913" spans="1:9" ht="12.75" customHeight="1">
      <c r="A913" s="175"/>
      <c r="B913" s="485" t="s">
        <v>2614</v>
      </c>
      <c r="C913" s="174"/>
      <c r="D913" s="1272" t="s">
        <v>1776</v>
      </c>
      <c r="E913" s="1272"/>
      <c r="F913" s="1272"/>
      <c r="G913" s="987"/>
      <c r="I913" s="490"/>
    </row>
    <row r="914" spans="1:9" ht="12.75" customHeight="1">
      <c r="A914" s="175"/>
      <c r="B914" s="175"/>
      <c r="C914" s="174"/>
      <c r="D914" s="1272"/>
      <c r="E914" s="1272"/>
      <c r="F914" s="1272"/>
      <c r="G914" s="987"/>
      <c r="I914" s="490"/>
    </row>
    <row r="915" spans="1:9" ht="12.75" customHeight="1">
      <c r="A915" s="175"/>
      <c r="B915" s="175"/>
      <c r="C915" s="174"/>
      <c r="D915" s="1272"/>
      <c r="E915" s="1272"/>
      <c r="F915" s="1272"/>
      <c r="G915" s="987"/>
      <c r="I915" s="490"/>
    </row>
    <row r="916" spans="1:9" ht="12.75" customHeight="1">
      <c r="A916" s="175"/>
      <c r="B916" s="175"/>
      <c r="C916" s="174"/>
      <c r="D916" s="1272"/>
      <c r="E916" s="1272"/>
      <c r="F916" s="1272"/>
      <c r="G916" s="987"/>
      <c r="I916" s="490"/>
    </row>
    <row r="917" spans="1:9" ht="12.75" customHeight="1">
      <c r="A917" s="175"/>
      <c r="B917" s="175"/>
      <c r="C917" s="174"/>
      <c r="D917" s="1272"/>
      <c r="E917" s="1272"/>
      <c r="F917" s="1272"/>
      <c r="G917" s="987"/>
      <c r="I917" s="490"/>
    </row>
    <row r="918" spans="1:9" ht="12.75" customHeight="1">
      <c r="A918" s="174"/>
      <c r="B918" s="174"/>
      <c r="C918" s="174"/>
      <c r="D918" s="1272"/>
      <c r="E918" s="1272"/>
      <c r="F918" s="1272"/>
      <c r="G918" s="987"/>
      <c r="I918" s="490"/>
    </row>
    <row r="919" spans="1:9" ht="12.75" customHeight="1">
      <c r="A919" s="174"/>
      <c r="B919" s="174"/>
      <c r="C919" s="174"/>
      <c r="D919" s="1272"/>
      <c r="E919" s="1272"/>
      <c r="F919" s="1272"/>
      <c r="G919" s="987"/>
      <c r="I919" s="490"/>
    </row>
    <row r="920" spans="1:9" ht="12.75" customHeight="1">
      <c r="A920" s="174"/>
      <c r="B920" s="174"/>
      <c r="C920" s="174"/>
      <c r="D920" s="1272"/>
      <c r="E920" s="1272"/>
      <c r="F920" s="1272"/>
      <c r="G920" s="987"/>
      <c r="I920" s="490"/>
    </row>
    <row r="921" spans="1:9" ht="12.75" customHeight="1">
      <c r="A921" s="174"/>
      <c r="B921" s="174"/>
      <c r="C921" s="174"/>
      <c r="D921" s="335"/>
      <c r="E921" s="335"/>
      <c r="F921" s="335"/>
      <c r="G921" s="987"/>
      <c r="I921" s="490"/>
    </row>
    <row r="922" spans="1:9" ht="12.75" customHeight="1">
      <c r="A922" s="988"/>
      <c r="B922" s="485" t="s">
        <v>2615</v>
      </c>
      <c r="C922" s="988"/>
      <c r="D922" s="1261" t="s">
        <v>1780</v>
      </c>
      <c r="E922" s="1261"/>
      <c r="F922" s="1261"/>
      <c r="G922" s="987"/>
      <c r="I922" s="490"/>
    </row>
    <row r="923" spans="1:9" ht="12.75" customHeight="1">
      <c r="A923" s="988"/>
      <c r="B923" s="988"/>
      <c r="C923" s="988"/>
      <c r="D923" s="1261"/>
      <c r="E923" s="1261"/>
      <c r="F923" s="1261"/>
      <c r="G923" s="987"/>
      <c r="I923" s="490"/>
    </row>
    <row r="924" spans="1:9" ht="12.75" customHeight="1">
      <c r="A924" s="988"/>
      <c r="B924" s="988"/>
      <c r="C924" s="988"/>
      <c r="D924" s="987"/>
      <c r="E924" s="987"/>
      <c r="F924" s="987"/>
      <c r="G924" s="987"/>
      <c r="I924" s="490"/>
    </row>
    <row r="925" spans="1:9" ht="12.75" customHeight="1">
      <c r="A925" s="988"/>
      <c r="B925" s="485" t="s">
        <v>2615</v>
      </c>
      <c r="C925" s="988"/>
      <c r="D925" s="1288" t="s">
        <v>1781</v>
      </c>
      <c r="E925" s="1288"/>
      <c r="F925" s="1288"/>
      <c r="G925" s="987"/>
      <c r="I925" s="490"/>
    </row>
    <row r="926" spans="1:9" ht="12.75" customHeight="1">
      <c r="A926" s="988"/>
      <c r="B926" s="988"/>
      <c r="C926" s="988"/>
      <c r="D926" s="1288"/>
      <c r="E926" s="1288"/>
      <c r="F926" s="1288"/>
      <c r="G926" s="987"/>
      <c r="I926" s="490"/>
    </row>
    <row r="927" spans="1:9" ht="12.75" customHeight="1">
      <c r="A927" s="988"/>
      <c r="B927" s="988"/>
      <c r="C927" s="988"/>
      <c r="D927" s="1288"/>
      <c r="E927" s="1288"/>
      <c r="F927" s="1288"/>
      <c r="G927" s="987"/>
      <c r="I927" s="490"/>
    </row>
    <row r="928" spans="1:9" ht="12.75" customHeight="1">
      <c r="A928" s="988"/>
      <c r="B928" s="988"/>
      <c r="C928" s="988"/>
      <c r="D928" s="1288"/>
      <c r="E928" s="1288"/>
      <c r="F928" s="1288"/>
      <c r="G928" s="987"/>
      <c r="I928" s="490"/>
    </row>
    <row r="929" spans="1:9" ht="12.75" customHeight="1">
      <c r="A929" s="988"/>
      <c r="B929" s="988"/>
      <c r="C929" s="988"/>
      <c r="D929" s="118"/>
      <c r="E929" s="987"/>
      <c r="F929" s="987"/>
      <c r="G929" s="987"/>
      <c r="I929" s="490"/>
    </row>
    <row r="930" spans="1:9" ht="12.75" customHeight="1">
      <c r="A930" s="988"/>
      <c r="B930" s="485" t="s">
        <v>2615</v>
      </c>
      <c r="C930" s="988"/>
      <c r="D930" s="1287" t="s">
        <v>2069</v>
      </c>
      <c r="E930" s="1287"/>
      <c r="F930" s="1287"/>
      <c r="G930" s="987"/>
      <c r="I930" s="490"/>
    </row>
    <row r="931" spans="1:9" ht="12.75" customHeight="1">
      <c r="A931" s="988"/>
      <c r="B931" s="988"/>
      <c r="C931" s="988"/>
      <c r="D931" s="118"/>
      <c r="E931" s="987"/>
      <c r="F931" s="987"/>
      <c r="G931" s="987"/>
      <c r="I931" s="490"/>
    </row>
    <row r="932" spans="1:9" ht="12.75" customHeight="1">
      <c r="A932" s="988"/>
      <c r="B932" s="485" t="s">
        <v>2615</v>
      </c>
      <c r="C932" s="988"/>
      <c r="D932" s="1287" t="s">
        <v>2070</v>
      </c>
      <c r="E932" s="1287"/>
      <c r="F932" s="1287"/>
      <c r="G932" s="987"/>
      <c r="I932" s="490"/>
    </row>
    <row r="933" spans="1:9" ht="12.75" customHeight="1">
      <c r="A933" s="174"/>
      <c r="B933" s="174"/>
      <c r="C933" s="174"/>
      <c r="D933" s="2"/>
      <c r="E933" s="3"/>
      <c r="F933" s="987"/>
      <c r="G933" s="987"/>
      <c r="I933" s="490"/>
    </row>
    <row r="934" spans="1:9" ht="12.75" customHeight="1">
      <c r="A934" s="996"/>
      <c r="B934" s="485" t="s">
        <v>2614</v>
      </c>
      <c r="C934" s="997"/>
      <c r="D934" s="1272" t="s">
        <v>1777</v>
      </c>
      <c r="E934" s="1272"/>
      <c r="F934" s="1272"/>
      <c r="G934" s="998"/>
      <c r="I934" s="490"/>
    </row>
    <row r="935" spans="1:9" ht="12.75" customHeight="1">
      <c r="A935" s="996"/>
      <c r="B935" s="996"/>
      <c r="C935" s="997"/>
      <c r="D935" s="1272"/>
      <c r="E935" s="1272"/>
      <c r="F935" s="1272"/>
      <c r="G935" s="998"/>
      <c r="I935" s="490"/>
    </row>
    <row r="936" spans="1:9" ht="12.75" customHeight="1">
      <c r="A936" s="996"/>
      <c r="B936" s="996"/>
      <c r="C936" s="997"/>
      <c r="D936" s="1272"/>
      <c r="E936" s="1272"/>
      <c r="F936" s="1272"/>
      <c r="G936" s="998"/>
      <c r="I936" s="490"/>
    </row>
    <row r="937" spans="1:9" ht="12.75" customHeight="1">
      <c r="A937" s="996"/>
      <c r="B937" s="996"/>
      <c r="C937" s="997"/>
      <c r="D937" s="1272"/>
      <c r="E937" s="1272"/>
      <c r="F937" s="1272"/>
      <c r="G937" s="998"/>
      <c r="I937" s="490"/>
    </row>
    <row r="938" spans="1:9" ht="12.75" customHeight="1">
      <c r="A938" s="996"/>
      <c r="B938" s="996"/>
      <c r="C938" s="997"/>
      <c r="D938" s="1272"/>
      <c r="E938" s="1272"/>
      <c r="F938" s="1272"/>
      <c r="G938" s="998"/>
      <c r="I938" s="490"/>
    </row>
    <row r="939" spans="1:9" ht="12.75" customHeight="1">
      <c r="A939" s="996"/>
      <c r="B939" s="996"/>
      <c r="C939" s="997"/>
      <c r="D939" s="1272"/>
      <c r="E939" s="1272"/>
      <c r="F939" s="1272"/>
      <c r="G939" s="998"/>
      <c r="I939" s="490"/>
    </row>
    <row r="940" spans="1:9" ht="12.75" customHeight="1">
      <c r="A940" s="996"/>
      <c r="B940" s="996"/>
      <c r="C940" s="997"/>
      <c r="D940" s="1272"/>
      <c r="E940" s="1272"/>
      <c r="F940" s="1272"/>
      <c r="G940" s="998"/>
      <c r="I940" s="490"/>
    </row>
    <row r="941" spans="1:9" ht="12.75" customHeight="1">
      <c r="A941" s="996"/>
      <c r="B941" s="996"/>
      <c r="C941" s="997"/>
      <c r="D941" s="1272"/>
      <c r="E941" s="1272"/>
      <c r="F941" s="1272"/>
      <c r="G941" s="998"/>
      <c r="I941" s="490"/>
    </row>
    <row r="942" spans="1:9" ht="12.75" customHeight="1">
      <c r="A942" s="996"/>
      <c r="B942" s="996"/>
      <c r="C942" s="997"/>
      <c r="D942" s="1272"/>
      <c r="E942" s="1272"/>
      <c r="F942" s="1272"/>
      <c r="G942" s="998"/>
      <c r="I942" s="490"/>
    </row>
    <row r="943" spans="1:9" ht="12.75" customHeight="1">
      <c r="A943" s="174"/>
      <c r="B943" s="174"/>
      <c r="C943" s="174"/>
      <c r="D943" s="2"/>
      <c r="E943" s="3"/>
      <c r="F943" s="987"/>
      <c r="G943" s="987"/>
      <c r="I943" s="490"/>
    </row>
    <row r="944" spans="1:9" ht="12.75" customHeight="1">
      <c r="A944" s="175"/>
      <c r="B944" s="485" t="s">
        <v>2614</v>
      </c>
      <c r="C944" s="174"/>
      <c r="D944" s="1296" t="s">
        <v>1886</v>
      </c>
      <c r="E944" s="1296"/>
      <c r="F944" s="1296"/>
      <c r="G944" s="987"/>
      <c r="I944" s="490"/>
    </row>
    <row r="945" spans="1:9" ht="12.75" customHeight="1">
      <c r="A945" s="175"/>
      <c r="B945" s="175"/>
      <c r="C945" s="174"/>
      <c r="D945" s="1296"/>
      <c r="E945" s="1296"/>
      <c r="F945" s="1296"/>
      <c r="G945" s="987"/>
      <c r="I945" s="490"/>
    </row>
    <row r="946" spans="1:9" ht="12.75" customHeight="1">
      <c r="A946" s="175"/>
      <c r="B946" s="175"/>
      <c r="C946" s="174"/>
      <c r="D946" s="1296"/>
      <c r="E946" s="1296"/>
      <c r="F946" s="1296"/>
      <c r="G946" s="987"/>
      <c r="I946" s="490"/>
    </row>
    <row r="947" spans="1:9" ht="12.75" customHeight="1">
      <c r="A947" s="175"/>
      <c r="B947" s="175"/>
      <c r="C947" s="174"/>
      <c r="D947" s="1296"/>
      <c r="E947" s="1296"/>
      <c r="F947" s="1296"/>
      <c r="G947" s="987"/>
      <c r="I947" s="490"/>
    </row>
    <row r="948" spans="1:9" ht="12.75" customHeight="1">
      <c r="A948" s="175"/>
      <c r="B948" s="175"/>
      <c r="C948" s="174"/>
      <c r="D948" s="1296"/>
      <c r="E948" s="1296"/>
      <c r="F948" s="1296"/>
      <c r="G948" s="987"/>
      <c r="I948" s="490"/>
    </row>
    <row r="949" spans="1:9" ht="12.75" customHeight="1">
      <c r="A949" s="175"/>
      <c r="B949" s="175"/>
      <c r="C949" s="174"/>
      <c r="D949" s="1296"/>
      <c r="E949" s="1296"/>
      <c r="F949" s="1296"/>
      <c r="G949" s="987"/>
      <c r="I949" s="490"/>
    </row>
    <row r="950" spans="1:9" ht="12.75" customHeight="1">
      <c r="A950" s="175"/>
      <c r="B950" s="175"/>
      <c r="C950" s="174"/>
      <c r="D950" s="1296"/>
      <c r="E950" s="1296"/>
      <c r="F950" s="1296"/>
      <c r="G950" s="987"/>
      <c r="I950" s="490"/>
    </row>
    <row r="951" spans="1:9" ht="12.75" customHeight="1">
      <c r="A951" s="175"/>
      <c r="B951" s="175"/>
      <c r="C951" s="174"/>
      <c r="D951" s="1025"/>
      <c r="E951" s="1025"/>
      <c r="F951" s="1025"/>
      <c r="G951" s="987"/>
      <c r="I951" s="490"/>
    </row>
    <row r="952" spans="1:9" ht="12.75" customHeight="1">
      <c r="A952" s="175"/>
      <c r="B952" s="485" t="s">
        <v>2614</v>
      </c>
      <c r="C952" s="174"/>
      <c r="D952" s="1271" t="s">
        <v>2137</v>
      </c>
      <c r="E952" s="1271"/>
      <c r="F952" s="1271"/>
      <c r="G952" s="987"/>
      <c r="I952" s="490"/>
    </row>
    <row r="953" spans="1:9" ht="12.75" customHeight="1">
      <c r="A953" s="175"/>
      <c r="B953" s="175"/>
      <c r="C953" s="174"/>
      <c r="D953" s="1271"/>
      <c r="E953" s="1271"/>
      <c r="F953" s="1271"/>
      <c r="G953" s="987"/>
      <c r="I953" s="490"/>
    </row>
    <row r="954" spans="1:9" ht="12.75" customHeight="1">
      <c r="A954" s="175"/>
      <c r="B954" s="175"/>
      <c r="C954" s="174"/>
      <c r="D954" s="1271"/>
      <c r="E954" s="1271"/>
      <c r="F954" s="1271"/>
      <c r="G954" s="987"/>
      <c r="I954" s="490"/>
    </row>
    <row r="955" spans="1:9" ht="12.75" customHeight="1">
      <c r="A955" s="175"/>
      <c r="B955" s="175"/>
      <c r="C955" s="174"/>
      <c r="D955" s="1271"/>
      <c r="E955" s="1271"/>
      <c r="F955" s="1271"/>
      <c r="G955" s="987"/>
      <c r="I955" s="490"/>
    </row>
    <row r="956" spans="1:9" ht="12.75" customHeight="1">
      <c r="A956" s="175"/>
      <c r="B956" s="175"/>
      <c r="C956" s="174"/>
      <c r="D956" s="1271"/>
      <c r="E956" s="1271"/>
      <c r="F956" s="1271"/>
      <c r="G956" s="987"/>
      <c r="I956" s="490"/>
    </row>
    <row r="957" spans="1:9" ht="12.75" customHeight="1">
      <c r="A957" s="175"/>
      <c r="B957" s="175"/>
      <c r="C957" s="174"/>
      <c r="D957" s="1271"/>
      <c r="E957" s="1271"/>
      <c r="F957" s="1271"/>
      <c r="G957" s="987"/>
      <c r="I957" s="490"/>
    </row>
    <row r="958" spans="1:9" ht="12.75" customHeight="1">
      <c r="A958" s="175"/>
      <c r="B958" s="175"/>
      <c r="C958" s="174"/>
      <c r="D958" s="1025"/>
      <c r="E958" s="1025"/>
      <c r="F958" s="1025"/>
      <c r="G958" s="987"/>
      <c r="I958" s="490"/>
    </row>
    <row r="959" spans="1:9" ht="12.75" customHeight="1">
      <c r="A959" s="988"/>
      <c r="B959" s="485" t="s">
        <v>2615</v>
      </c>
      <c r="C959" s="988"/>
      <c r="D959" s="1288" t="s">
        <v>1782</v>
      </c>
      <c r="E959" s="1288"/>
      <c r="F959" s="1288"/>
      <c r="G959" s="987"/>
      <c r="I959" s="490"/>
    </row>
    <row r="960" spans="1:9" ht="12.75" customHeight="1">
      <c r="A960" s="988"/>
      <c r="B960" s="988"/>
      <c r="C960" s="988"/>
      <c r="D960" s="1288"/>
      <c r="E960" s="1288"/>
      <c r="F960" s="1288"/>
      <c r="G960" s="987"/>
      <c r="I960" s="490"/>
    </row>
    <row r="961" spans="1:9" ht="12.75" customHeight="1">
      <c r="A961" s="988"/>
      <c r="B961" s="988"/>
      <c r="C961" s="988"/>
      <c r="D961" s="1288"/>
      <c r="E961" s="1288"/>
      <c r="F961" s="1288"/>
      <c r="G961" s="987"/>
      <c r="I961" s="490"/>
    </row>
    <row r="962" spans="1:9" ht="12.75" customHeight="1">
      <c r="A962" s="175"/>
      <c r="B962" s="175"/>
      <c r="C962" s="174"/>
      <c r="D962" s="1025"/>
      <c r="E962" s="1025"/>
      <c r="F962" s="1025"/>
      <c r="G962" s="987"/>
      <c r="I962" s="490"/>
    </row>
    <row r="963" spans="1:9" ht="12.75" customHeight="1">
      <c r="A963" s="175"/>
      <c r="B963" s="175"/>
      <c r="C963" s="174"/>
      <c r="D963" s="844"/>
      <c r="E963" s="3"/>
      <c r="F963" s="987"/>
      <c r="G963" s="987"/>
      <c r="I963" s="490"/>
    </row>
    <row r="964" spans="1:9" ht="12.75" customHeight="1">
      <c r="A964" s="175"/>
      <c r="B964" s="485" t="s">
        <v>2615</v>
      </c>
      <c r="C964" s="174"/>
      <c r="D964" s="1272" t="s">
        <v>1885</v>
      </c>
      <c r="E964" s="1272"/>
      <c r="F964" s="1272"/>
      <c r="G964" s="987"/>
      <c r="I964" s="490"/>
    </row>
    <row r="965" spans="1:9" ht="12.75" customHeight="1">
      <c r="A965" s="175"/>
      <c r="B965" s="175"/>
      <c r="C965" s="174"/>
      <c r="D965" s="1272"/>
      <c r="E965" s="1272"/>
      <c r="F965" s="1272"/>
      <c r="G965" s="987"/>
      <c r="I965" s="490"/>
    </row>
    <row r="966" spans="1:9" ht="12.75" customHeight="1">
      <c r="A966" s="175"/>
      <c r="B966" s="175"/>
      <c r="C966" s="174"/>
      <c r="D966" s="1272"/>
      <c r="E966" s="1272"/>
      <c r="F966" s="1272"/>
      <c r="G966" s="987"/>
      <c r="I966" s="490"/>
    </row>
    <row r="967" spans="1:9" ht="12.75" customHeight="1">
      <c r="A967" s="175"/>
      <c r="B967" s="175"/>
      <c r="C967" s="174"/>
      <c r="D967" s="1272"/>
      <c r="E967" s="1272"/>
      <c r="F967" s="1272"/>
      <c r="G967" s="987"/>
      <c r="I967" s="490"/>
    </row>
    <row r="968" spans="1:9" ht="12.75" customHeight="1">
      <c r="A968" s="988"/>
      <c r="B968" s="988"/>
      <c r="C968" s="988"/>
      <c r="D968" s="979"/>
      <c r="E968" s="979"/>
      <c r="F968" s="979"/>
      <c r="G968" s="979"/>
      <c r="I968" s="490"/>
    </row>
    <row r="969" spans="1:9" ht="12.75" customHeight="1">
      <c r="A969" s="354"/>
      <c r="B969" s="354"/>
      <c r="C969" s="354"/>
      <c r="D969" s="1294" t="s">
        <v>1783</v>
      </c>
      <c r="E969" s="1294"/>
      <c r="F969" s="1294"/>
      <c r="G969" s="3"/>
      <c r="I969" s="490"/>
    </row>
    <row r="970" spans="1:9" ht="12.75" customHeight="1">
      <c r="A970" s="175"/>
      <c r="B970" s="485" t="s">
        <v>2615</v>
      </c>
      <c r="C970" s="354"/>
      <c r="D970" s="1287" t="s">
        <v>1806</v>
      </c>
      <c r="E970" s="1287"/>
      <c r="F970" s="1287"/>
      <c r="G970" s="3"/>
      <c r="I970" s="490"/>
    </row>
    <row r="971" spans="1:9" ht="12.75" customHeight="1">
      <c r="A971" s="354"/>
      <c r="B971" s="354"/>
      <c r="C971" s="354"/>
      <c r="D971" s="3"/>
      <c r="E971" s="3"/>
      <c r="F971" s="3"/>
      <c r="G971" s="3"/>
      <c r="I971" s="490"/>
    </row>
    <row r="972" spans="1:9" ht="12.75" customHeight="1">
      <c r="A972" s="354"/>
      <c r="B972" s="354"/>
      <c r="C972" s="354"/>
      <c r="D972" s="1294" t="s">
        <v>1784</v>
      </c>
      <c r="E972" s="1294"/>
      <c r="F972" s="1294"/>
      <c r="G972"/>
      <c r="I972" s="490"/>
    </row>
    <row r="973" spans="1:9" ht="12.75" customHeight="1">
      <c r="A973" s="175"/>
      <c r="B973" s="485" t="s">
        <v>2615</v>
      </c>
      <c r="C973" s="354"/>
      <c r="D973" s="1261" t="s">
        <v>2071</v>
      </c>
      <c r="E973" s="1261"/>
      <c r="F973" s="1261"/>
      <c r="G973"/>
      <c r="I973" s="490"/>
    </row>
    <row r="974" spans="1:9" ht="12.75" customHeight="1">
      <c r="A974" s="175"/>
      <c r="B974" s="175"/>
      <c r="C974" s="354"/>
      <c r="D974" s="1261"/>
      <c r="E974" s="1261"/>
      <c r="F974" s="1261"/>
      <c r="G974"/>
      <c r="I974" s="490"/>
    </row>
    <row r="975" spans="1:9" ht="12.75" customHeight="1">
      <c r="A975" s="175"/>
      <c r="B975" s="175"/>
      <c r="C975" s="354"/>
      <c r="D975" s="1261"/>
      <c r="E975" s="1261"/>
      <c r="F975" s="1261"/>
      <c r="G975"/>
      <c r="I975" s="490"/>
    </row>
    <row r="976" spans="1:9" ht="12.75" customHeight="1">
      <c r="A976" s="175"/>
      <c r="B976" s="175"/>
      <c r="C976" s="354"/>
      <c r="D976" s="1261"/>
      <c r="E976" s="1261"/>
      <c r="F976" s="1261"/>
      <c r="G976"/>
      <c r="I976" s="490"/>
    </row>
    <row r="977" spans="1:9" ht="12.75" customHeight="1">
      <c r="A977" s="175"/>
      <c r="B977" s="175"/>
      <c r="C977" s="354"/>
      <c r="D977" s="1261"/>
      <c r="E977" s="1261"/>
      <c r="F977" s="1261"/>
      <c r="G977"/>
      <c r="I977" s="490"/>
    </row>
    <row r="978" spans="1:9" ht="12.75" customHeight="1">
      <c r="A978" s="175"/>
      <c r="B978" s="175"/>
      <c r="C978" s="354"/>
      <c r="D978" s="1261"/>
      <c r="E978" s="1261"/>
      <c r="F978" s="1261"/>
      <c r="G978"/>
      <c r="I978" s="490"/>
    </row>
    <row r="979" spans="1:9" ht="12.75" customHeight="1">
      <c r="A979" s="175"/>
      <c r="B979" s="175"/>
      <c r="C979" s="354"/>
      <c r="D979" s="1261"/>
      <c r="E979" s="1261"/>
      <c r="F979" s="1261"/>
      <c r="G979"/>
      <c r="I979" s="490"/>
    </row>
    <row r="980" spans="1:9" ht="12.75" customHeight="1">
      <c r="A980" s="175"/>
      <c r="B980" s="175"/>
      <c r="C980" s="354"/>
      <c r="D980" s="1261"/>
      <c r="E980" s="1261"/>
      <c r="F980" s="1261"/>
      <c r="G980"/>
      <c r="I980" s="490"/>
    </row>
    <row r="981" spans="1:9" ht="12.75" customHeight="1">
      <c r="A981" s="175"/>
      <c r="B981" s="175"/>
      <c r="C981" s="354"/>
      <c r="D981" s="1261"/>
      <c r="E981" s="1261"/>
      <c r="F981" s="1261"/>
      <c r="G981"/>
      <c r="I981" s="490"/>
    </row>
    <row r="982" spans="1:9" ht="12.75" customHeight="1">
      <c r="A982" s="175"/>
      <c r="B982" s="175"/>
      <c r="C982" s="354"/>
      <c r="D982" s="1261"/>
      <c r="E982" s="1261"/>
      <c r="F982" s="1261"/>
      <c r="G982"/>
      <c r="I982" s="490"/>
    </row>
    <row r="983" spans="1:9" ht="12.75" customHeight="1">
      <c r="A983" s="175"/>
      <c r="B983" s="175"/>
      <c r="C983" s="354"/>
      <c r="D983" s="1261"/>
      <c r="E983" s="1261"/>
      <c r="F983" s="1261"/>
      <c r="G983"/>
      <c r="I983" s="490"/>
    </row>
    <row r="984" spans="1:9" ht="12.75" customHeight="1">
      <c r="A984" s="175"/>
      <c r="B984" s="175"/>
      <c r="C984" s="354"/>
      <c r="D984" s="1261"/>
      <c r="E984" s="1261"/>
      <c r="F984" s="1261"/>
      <c r="G984"/>
      <c r="I984" s="490"/>
    </row>
    <row r="985" spans="1:9" ht="12.75" customHeight="1">
      <c r="A985" s="175"/>
      <c r="B985" s="175"/>
      <c r="C985" s="354"/>
      <c r="D985" s="1261"/>
      <c r="E985" s="1261"/>
      <c r="F985" s="1261"/>
      <c r="G985"/>
      <c r="I985" s="490"/>
    </row>
    <row r="986" spans="1:9" ht="12.75" customHeight="1">
      <c r="A986" s="175"/>
      <c r="B986" s="175"/>
      <c r="C986" s="354"/>
      <c r="D986" s="1261"/>
      <c r="E986" s="1261"/>
      <c r="F986" s="1261"/>
      <c r="G986"/>
      <c r="I986" s="490"/>
    </row>
    <row r="987" spans="1:9" ht="12.75" customHeight="1">
      <c r="A987" s="175"/>
      <c r="B987" s="175"/>
      <c r="C987" s="354"/>
      <c r="D987" s="1261"/>
      <c r="E987" s="1261"/>
      <c r="F987" s="1261"/>
      <c r="G987" s="3"/>
      <c r="I987" s="490"/>
    </row>
    <row r="988" spans="1:9" ht="12.75" customHeight="1">
      <c r="A988" s="354"/>
      <c r="B988" s="354"/>
      <c r="C988" s="354"/>
      <c r="D988" s="3"/>
      <c r="E988" s="3"/>
      <c r="F988" s="3"/>
      <c r="G988" s="3"/>
      <c r="I988" s="490"/>
    </row>
    <row r="989" spans="1:9" ht="12.75" customHeight="1">
      <c r="A989" s="1284" t="s">
        <v>1785</v>
      </c>
      <c r="B989" s="1284"/>
      <c r="C989" s="1284"/>
      <c r="D989" s="1284"/>
      <c r="E989" s="1284"/>
      <c r="F989" s="1284"/>
      <c r="G989" s="1284"/>
      <c r="H989" s="1027"/>
      <c r="I989" s="1152"/>
    </row>
    <row r="990" spans="1:9" ht="12.75" customHeight="1">
      <c r="A990" s="118"/>
      <c r="B990" s="118"/>
      <c r="C990" s="354"/>
      <c r="D990" s="3"/>
      <c r="E990" s="3"/>
      <c r="F990" s="3"/>
      <c r="G990" s="3"/>
      <c r="I990" s="490"/>
    </row>
    <row r="991" spans="1:9" ht="12.75" customHeight="1">
      <c r="A991" s="354"/>
      <c r="B991" s="354"/>
      <c r="C991" s="988"/>
      <c r="D991" s="1294" t="s">
        <v>1807</v>
      </c>
      <c r="E991" s="1294"/>
      <c r="F991" s="1294"/>
      <c r="G991" s="3"/>
      <c r="I991" s="490"/>
    </row>
    <row r="992" spans="1:9" ht="12.75" customHeight="1">
      <c r="A992" s="172"/>
      <c r="B992" s="172"/>
      <c r="C992" s="172"/>
      <c r="D992" s="1287" t="s">
        <v>1786</v>
      </c>
      <c r="E992" s="1287"/>
      <c r="F992" s="1287"/>
      <c r="G992" s="3"/>
      <c r="I992" s="490"/>
    </row>
    <row r="993" spans="1:9" ht="12.75" customHeight="1">
      <c r="A993" s="172"/>
      <c r="B993" s="172"/>
      <c r="C993" s="172"/>
      <c r="D993" s="3"/>
      <c r="E993" s="3"/>
      <c r="F993" s="987"/>
      <c r="G993"/>
      <c r="I993" s="490"/>
    </row>
    <row r="994" spans="1:9" ht="12.75" customHeight="1">
      <c r="A994" s="354"/>
      <c r="B994" s="485" t="s">
        <v>2614</v>
      </c>
      <c r="C994" s="354"/>
      <c r="D994" s="1295" t="s">
        <v>1915</v>
      </c>
      <c r="E994" s="1295"/>
      <c r="F994" s="1295"/>
      <c r="G994"/>
      <c r="I994" s="490"/>
    </row>
    <row r="995" spans="1:9" ht="12.75" customHeight="1">
      <c r="A995" s="354"/>
      <c r="B995" s="354"/>
      <c r="C995" s="354"/>
      <c r="D995" s="1295"/>
      <c r="E995" s="1295"/>
      <c r="F995" s="1295"/>
      <c r="G995"/>
      <c r="I995" s="490"/>
    </row>
    <row r="996" spans="1:9" ht="12.75" customHeight="1">
      <c r="A996" s="354"/>
      <c r="B996" s="354"/>
      <c r="C996" s="354"/>
      <c r="D996" s="1037"/>
      <c r="E996" s="1035" t="s">
        <v>1916</v>
      </c>
      <c r="F996" s="1037"/>
      <c r="G996"/>
      <c r="I996" s="490"/>
    </row>
    <row r="997" spans="1:9" ht="12.75" customHeight="1">
      <c r="A997" s="354"/>
      <c r="B997" s="354"/>
      <c r="C997" s="354"/>
      <c r="D997" s="1266" t="s">
        <v>1914</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2615</v>
      </c>
      <c r="C1002" s="174"/>
      <c r="D1002" s="1261" t="s">
        <v>1787</v>
      </c>
      <c r="E1002" s="1261"/>
      <c r="F1002" s="1261"/>
      <c r="G1002"/>
      <c r="I1002" s="490"/>
    </row>
    <row r="1003" spans="1:9" ht="12.75" customHeight="1">
      <c r="A1003" s="174"/>
      <c r="B1003" s="174"/>
      <c r="C1003" s="174"/>
      <c r="D1003" s="1261"/>
      <c r="E1003" s="1261"/>
      <c r="F1003" s="1261"/>
      <c r="G1003"/>
      <c r="I1003" s="490"/>
    </row>
    <row r="1004" spans="1:9" ht="12.75" customHeight="1">
      <c r="A1004" s="174"/>
      <c r="B1004" s="174"/>
      <c r="C1004" s="174"/>
      <c r="D1004" s="1261"/>
      <c r="E1004" s="1261"/>
      <c r="F1004" s="1261"/>
      <c r="G1004"/>
      <c r="I1004" s="490"/>
    </row>
    <row r="1005" spans="1:9" ht="12.75" customHeight="1">
      <c r="A1005" s="174"/>
      <c r="B1005" s="174"/>
      <c r="C1005" s="174"/>
      <c r="D1005" s="1261"/>
      <c r="E1005" s="1261"/>
      <c r="F1005" s="1261"/>
      <c r="G1005"/>
      <c r="I1005" s="490"/>
    </row>
    <row r="1006" spans="1:9" ht="12.75" customHeight="1">
      <c r="A1006" s="174"/>
      <c r="B1006" s="174"/>
      <c r="C1006" s="174"/>
      <c r="D1006" s="441"/>
      <c r="E1006" s="441"/>
      <c r="F1006" s="441"/>
      <c r="G1006"/>
      <c r="I1006" s="490"/>
    </row>
    <row r="1007" spans="1:9" ht="12.75" customHeight="1">
      <c r="A1007" s="174"/>
      <c r="B1007" s="485" t="s">
        <v>2615</v>
      </c>
      <c r="C1007" s="174"/>
      <c r="D1007" s="1261" t="s">
        <v>2230</v>
      </c>
      <c r="E1007" s="1261"/>
      <c r="F1007" s="1261"/>
      <c r="G1007"/>
      <c r="I1007" s="490"/>
    </row>
    <row r="1008" spans="1:9" ht="12.75" customHeight="1">
      <c r="A1008" s="174"/>
      <c r="B1008" s="174"/>
      <c r="C1008" s="174"/>
      <c r="D1008" s="1261"/>
      <c r="E1008" s="1261"/>
      <c r="F1008" s="1261"/>
      <c r="G1008"/>
      <c r="I1008" s="490"/>
    </row>
    <row r="1009" spans="1:9" ht="12.75" customHeight="1">
      <c r="A1009" s="174"/>
      <c r="B1009" s="174"/>
      <c r="C1009" s="174"/>
      <c r="D1009" s="441"/>
      <c r="E1009" s="441"/>
      <c r="F1009" s="441"/>
      <c r="G1009"/>
      <c r="I1009" s="490"/>
    </row>
    <row r="1010" spans="1:9" ht="12.75" customHeight="1">
      <c r="A1010" s="175"/>
      <c r="B1010" s="485" t="s">
        <v>2615</v>
      </c>
      <c r="C1010" s="354"/>
      <c r="D1010" s="1287" t="s">
        <v>1788</v>
      </c>
      <c r="E1010" s="1287"/>
      <c r="F1010" s="1287"/>
      <c r="G1010"/>
      <c r="I1010" s="490"/>
    </row>
    <row r="1011" spans="1:9" ht="12.75" customHeight="1">
      <c r="A1011" s="354"/>
      <c r="B1011" s="354"/>
      <c r="C1011" s="354"/>
      <c r="D1011" s="3"/>
      <c r="E1011" s="3"/>
      <c r="F1011" s="3"/>
      <c r="G1011"/>
      <c r="I1011" s="490"/>
    </row>
    <row r="1012" spans="1:9" ht="12.75" customHeight="1">
      <c r="A1012" s="175"/>
      <c r="B1012" s="485" t="s">
        <v>2615</v>
      </c>
      <c r="C1012" s="354"/>
      <c r="D1012" s="1287" t="s">
        <v>1789</v>
      </c>
      <c r="E1012" s="1287"/>
      <c r="F1012" s="1287"/>
      <c r="G1012"/>
      <c r="I1012" s="490"/>
    </row>
    <row r="1013" spans="1:9" ht="12.75" customHeight="1">
      <c r="A1013" s="354"/>
      <c r="B1013" s="354"/>
      <c r="C1013" s="354"/>
      <c r="D1013" s="118"/>
      <c r="E1013" s="3"/>
      <c r="F1013" s="3"/>
      <c r="G1013"/>
      <c r="I1013" s="490"/>
    </row>
    <row r="1014" spans="1:9" ht="12.75" customHeight="1">
      <c r="A1014" s="175"/>
      <c r="B1014" s="485" t="s">
        <v>2614</v>
      </c>
      <c r="C1014" s="354"/>
      <c r="D1014" s="1287" t="s">
        <v>1790</v>
      </c>
      <c r="E1014" s="1287"/>
      <c r="F1014" s="1287"/>
      <c r="G1014"/>
      <c r="I1014" s="490"/>
    </row>
    <row r="1015" spans="1:9" ht="12.75" customHeight="1">
      <c r="A1015" s="354"/>
      <c r="B1015" s="354"/>
      <c r="C1015" s="354"/>
      <c r="D1015" s="118"/>
      <c r="E1015" s="3"/>
      <c r="F1015" s="3"/>
      <c r="G1015"/>
      <c r="I1015" s="490"/>
    </row>
    <row r="1016" spans="1:9" ht="12.75" customHeight="1">
      <c r="A1016" s="175"/>
      <c r="B1016" s="485" t="s">
        <v>2614</v>
      </c>
      <c r="C1016" s="354"/>
      <c r="D1016" s="1261" t="s">
        <v>1791</v>
      </c>
      <c r="E1016" s="1261"/>
      <c r="F1016" s="1261"/>
      <c r="G1016"/>
      <c r="I1016" s="490"/>
    </row>
    <row r="1017" spans="1:9" ht="12.75" customHeight="1">
      <c r="A1017" s="175"/>
      <c r="B1017" s="175"/>
      <c r="C1017" s="354"/>
      <c r="D1017" s="1261"/>
      <c r="E1017" s="1261"/>
      <c r="F1017" s="1261"/>
      <c r="G1017"/>
      <c r="I1017" s="490"/>
    </row>
    <row r="1018" spans="1:9" ht="12.75" customHeight="1">
      <c r="A1018" s="175"/>
      <c r="B1018" s="175"/>
      <c r="C1018" s="354"/>
      <c r="D1018" s="118"/>
      <c r="E1018" s="3"/>
      <c r="F1018" s="3"/>
      <c r="G1018" s="3"/>
      <c r="I1018" s="490"/>
    </row>
    <row r="1019" spans="1:9" ht="12.75" customHeight="1">
      <c r="A1019" s="254"/>
      <c r="B1019" s="485" t="s">
        <v>2615</v>
      </c>
      <c r="C1019" s="999"/>
      <c r="D1019" s="1293" t="s">
        <v>1792</v>
      </c>
      <c r="E1019" s="1293"/>
      <c r="F1019" s="1293"/>
      <c r="G1019" s="1000"/>
      <c r="I1019" s="490"/>
    </row>
    <row r="1020" spans="1:9" ht="12.75" customHeight="1">
      <c r="A1020" s="999"/>
      <c r="B1020" s="999"/>
      <c r="C1020" s="999"/>
      <c r="D1020" s="1293"/>
      <c r="E1020" s="1293"/>
      <c r="F1020" s="1293"/>
      <c r="G1020" s="1000"/>
      <c r="I1020" s="490"/>
    </row>
    <row r="1021" spans="1:9" ht="12.75" customHeight="1">
      <c r="A1021" s="999"/>
      <c r="B1021" s="999"/>
      <c r="C1021" s="999"/>
      <c r="D1021" s="983"/>
      <c r="E1021" s="1000"/>
      <c r="F1021" s="1000"/>
      <c r="G1021" s="1000"/>
      <c r="I1021" s="490"/>
    </row>
    <row r="1022" spans="1:9" ht="12.75" customHeight="1">
      <c r="A1022" s="254"/>
      <c r="B1022" s="485" t="s">
        <v>2615</v>
      </c>
      <c r="C1022" s="999"/>
      <c r="D1022" s="1283" t="s">
        <v>1793</v>
      </c>
      <c r="E1022" s="1283"/>
      <c r="F1022" s="1283"/>
      <c r="G1022" s="1000"/>
      <c r="I1022" s="490"/>
    </row>
    <row r="1023" spans="1:9" ht="12.75" customHeight="1">
      <c r="A1023" s="999"/>
      <c r="B1023" s="999"/>
      <c r="C1023" s="999"/>
      <c r="D1023" s="983"/>
      <c r="E1023" s="1000"/>
      <c r="F1023" s="1000"/>
      <c r="G1023" s="1000"/>
      <c r="I1023" s="490"/>
    </row>
    <row r="1024" spans="1:9" ht="12.75" customHeight="1">
      <c r="A1024" s="175"/>
      <c r="B1024" s="485" t="s">
        <v>2615</v>
      </c>
      <c r="C1024" s="354"/>
      <c r="D1024" s="1287" t="s">
        <v>1794</v>
      </c>
      <c r="E1024" s="1287"/>
      <c r="F1024" s="1287"/>
      <c r="G1024" s="3"/>
      <c r="I1024" s="490"/>
    </row>
    <row r="1025" spans="1:9" ht="12.75" customHeight="1">
      <c r="A1025" s="175"/>
      <c r="B1025" s="175"/>
      <c r="C1025" s="354"/>
      <c r="D1025" s="118"/>
      <c r="E1025" s="3"/>
      <c r="F1025" s="3"/>
      <c r="G1025" s="3"/>
      <c r="I1025" s="490"/>
    </row>
    <row r="1026" spans="1:9" ht="12.75" customHeight="1">
      <c r="A1026" s="175"/>
      <c r="B1026" s="485" t="s">
        <v>2615</v>
      </c>
      <c r="C1026" s="354"/>
      <c r="D1026" s="1261" t="s">
        <v>1795</v>
      </c>
      <c r="E1026" s="1261"/>
      <c r="F1026" s="1261"/>
      <c r="G1026" s="3"/>
      <c r="I1026" s="490"/>
    </row>
    <row r="1027" spans="1:9" ht="12.75" customHeight="1">
      <c r="A1027" s="175"/>
      <c r="B1027" s="175"/>
      <c r="C1027" s="354"/>
      <c r="D1027" s="1261"/>
      <c r="E1027" s="1261"/>
      <c r="F1027" s="1261"/>
      <c r="G1027" s="3"/>
      <c r="I1027" s="490"/>
    </row>
    <row r="1028" spans="1:9" ht="12.75" customHeight="1">
      <c r="A1028" s="354"/>
      <c r="B1028" s="354"/>
      <c r="C1028" s="354"/>
      <c r="D1028" s="3"/>
      <c r="E1028" s="3"/>
      <c r="F1028" s="3"/>
      <c r="G1028" s="3"/>
      <c r="I1028" s="490"/>
    </row>
    <row r="1029" spans="1:9" ht="12.75" customHeight="1">
      <c r="A1029" s="1284" t="s">
        <v>1796</v>
      </c>
      <c r="B1029" s="1284"/>
      <c r="C1029" s="1284"/>
      <c r="D1029" s="1284"/>
      <c r="E1029" s="1284"/>
      <c r="F1029" s="1284"/>
      <c r="G1029" s="1284"/>
      <c r="H1029" s="1027"/>
      <c r="I1029" s="1152"/>
    </row>
    <row r="1030" spans="1:9" ht="12.75" customHeight="1">
      <c r="A1030" s="354"/>
      <c r="B1030" s="354"/>
      <c r="C1030" s="354"/>
      <c r="D1030" s="3"/>
      <c r="E1030" s="3"/>
      <c r="F1030" s="3"/>
      <c r="G1030" s="3"/>
      <c r="I1030" s="490"/>
    </row>
    <row r="1031" spans="1:9" ht="12.75" customHeight="1">
      <c r="A1031" s="354"/>
      <c r="B1031" s="354"/>
      <c r="C1031" s="354"/>
      <c r="D1031" s="1282" t="s">
        <v>1797</v>
      </c>
      <c r="E1031" s="1282"/>
      <c r="F1031" s="1282"/>
      <c r="G1031" s="3"/>
      <c r="I1031" s="490"/>
    </row>
    <row r="1032" spans="1:9" ht="12.75" customHeight="1">
      <c r="A1032" s="354"/>
      <c r="B1032" s="354"/>
      <c r="C1032" s="354"/>
      <c r="D1032" s="1283" t="s">
        <v>1798</v>
      </c>
      <c r="E1032" s="1283"/>
      <c r="F1032" s="1283"/>
      <c r="G1032" s="3"/>
      <c r="I1032" s="490"/>
    </row>
    <row r="1033" spans="1:9" ht="12.75" customHeight="1">
      <c r="A1033" s="172"/>
      <c r="B1033" s="172"/>
      <c r="C1033" s="172"/>
      <c r="D1033" s="3"/>
      <c r="E1033" s="3"/>
      <c r="F1033" s="3"/>
      <c r="G1033" s="3"/>
      <c r="I1033" s="490"/>
    </row>
    <row r="1034" spans="1:9" ht="12.75" customHeight="1">
      <c r="A1034" s="175"/>
      <c r="B1034" s="175"/>
      <c r="C1034" s="174"/>
      <c r="D1034" s="1282" t="s">
        <v>1812</v>
      </c>
      <c r="E1034" s="1282"/>
      <c r="F1034" s="1282"/>
      <c r="G1034" s="3"/>
      <c r="I1034" s="490"/>
    </row>
    <row r="1035" spans="1:9" ht="12.75" customHeight="1">
      <c r="A1035" s="354"/>
      <c r="B1035" s="485" t="s">
        <v>2614</v>
      </c>
      <c r="C1035" s="354"/>
      <c r="D1035" s="1283" t="s">
        <v>1270</v>
      </c>
      <c r="E1035" s="1283"/>
      <c r="F1035" s="1283"/>
      <c r="G1035" s="3"/>
      <c r="I1035" s="490"/>
    </row>
    <row r="1036" spans="1:9" ht="12.75" customHeight="1">
      <c r="A1036" s="354"/>
      <c r="B1036" s="175"/>
      <c r="C1036" s="354"/>
      <c r="D1036" s="1283" t="s">
        <v>1799</v>
      </c>
      <c r="E1036" s="1283"/>
      <c r="F1036" s="1283"/>
      <c r="G1036" s="3"/>
      <c r="I1036" s="490"/>
    </row>
    <row r="1037" spans="1:9" ht="12.75" customHeight="1">
      <c r="A1037" s="354"/>
      <c r="B1037" s="354"/>
      <c r="C1037" s="354"/>
      <c r="D1037" s="1283"/>
      <c r="E1037" s="1283"/>
      <c r="F1037" s="1283"/>
      <c r="G1037" s="3"/>
      <c r="I1037" s="490"/>
    </row>
    <row r="1038" spans="1:9" ht="12.75" customHeight="1">
      <c r="A1038" s="1284" t="s">
        <v>1808</v>
      </c>
      <c r="B1038" s="1284"/>
      <c r="C1038" s="1284"/>
      <c r="D1038" s="1284"/>
      <c r="E1038" s="1284"/>
      <c r="F1038" s="1284"/>
      <c r="G1038" s="1284"/>
      <c r="H1038" s="1027"/>
      <c r="I1038" s="1152"/>
    </row>
    <row r="1039" spans="1:9" ht="12.75" customHeight="1">
      <c r="A1039" s="118"/>
      <c r="B1039" s="118"/>
      <c r="C1039" s="354"/>
      <c r="D1039" s="3"/>
      <c r="E1039" s="3"/>
      <c r="F1039" s="3"/>
      <c r="G1039" s="3"/>
      <c r="I1039" s="490"/>
    </row>
    <row r="1040" spans="1:9" ht="12.75" hidden="1" customHeight="1">
      <c r="A1040" s="118"/>
      <c r="B1040" s="402"/>
      <c r="D1040" s="1281" t="s">
        <v>1271</v>
      </c>
      <c r="E1040" s="1281"/>
      <c r="F1040" s="1281"/>
      <c r="G1040" s="3"/>
      <c r="I1040" s="490"/>
    </row>
    <row r="1041" spans="1:9" ht="12.75" hidden="1" customHeight="1">
      <c r="A1041" s="118"/>
      <c r="B1041" s="485" t="s">
        <v>307</v>
      </c>
      <c r="D1041" s="1280" t="s">
        <v>1270</v>
      </c>
      <c r="E1041" s="1280"/>
      <c r="F1041" s="1280"/>
      <c r="G1041" s="3"/>
      <c r="I1041" s="490"/>
    </row>
    <row r="1042" spans="1:9" ht="12.75" hidden="1" customHeight="1">
      <c r="A1042" s="118"/>
      <c r="B1042" s="402"/>
      <c r="D1042" s="1280" t="s">
        <v>1809</v>
      </c>
      <c r="E1042" s="1280"/>
      <c r="F1042" s="1280"/>
      <c r="G1042" s="3"/>
      <c r="I1042" s="490"/>
    </row>
    <row r="1043" spans="1:9" ht="12.75" hidden="1" customHeight="1">
      <c r="A1043" s="118"/>
      <c r="B1043" s="402"/>
      <c r="D1043" s="444"/>
      <c r="E1043" s="444"/>
      <c r="F1043" s="444"/>
      <c r="G1043" s="3"/>
      <c r="I1043" s="490"/>
    </row>
    <row r="1044" spans="1:9" ht="12.75" customHeight="1">
      <c r="A1044" s="118"/>
      <c r="B1044" s="118"/>
      <c r="C1044" s="354"/>
      <c r="D1044" s="1285" t="s">
        <v>1065</v>
      </c>
      <c r="E1044" s="1285"/>
      <c r="F1044" s="1285"/>
      <c r="G1044" s="3"/>
      <c r="I1044" s="490"/>
    </row>
    <row r="1045" spans="1:9" ht="12.75" customHeight="1">
      <c r="A1045" s="319"/>
      <c r="B1045" s="319"/>
      <c r="C1045" s="319"/>
      <c r="D1045" s="1286" t="s">
        <v>2248</v>
      </c>
      <c r="E1045" s="1286"/>
      <c r="F1045" s="1286"/>
      <c r="G1045" s="98"/>
      <c r="I1045" s="490"/>
    </row>
    <row r="1046" spans="1:9" ht="12.75" customHeight="1">
      <c r="A1046" s="175"/>
      <c r="B1046" s="485" t="s">
        <v>2615</v>
      </c>
      <c r="C1046" s="354"/>
      <c r="D1046" s="1286" t="s">
        <v>984</v>
      </c>
      <c r="E1046" s="1286"/>
      <c r="F1046" s="1286"/>
      <c r="G1046" s="3"/>
      <c r="I1046" s="490"/>
    </row>
    <row r="1047" spans="1:9" ht="12.75" customHeight="1">
      <c r="A1047" s="354"/>
      <c r="B1047" s="354"/>
      <c r="C1047" s="354"/>
      <c r="D1047" s="1035" t="s">
        <v>1917</v>
      </c>
      <c r="E1047" s="96"/>
      <c r="F1047" s="96"/>
      <c r="G1047" s="3"/>
      <c r="I1047" s="490"/>
    </row>
    <row r="1048" spans="1:9">
      <c r="A1048" s="402"/>
      <c r="B1048" s="402"/>
      <c r="C1048" s="402"/>
      <c r="I1048" s="490"/>
    </row>
    <row r="1049" spans="1:9">
      <c r="A1049" s="1284" t="s">
        <v>1829</v>
      </c>
      <c r="B1049" s="1284"/>
      <c r="C1049" s="1284"/>
      <c r="D1049" s="1284"/>
      <c r="E1049" s="1284"/>
      <c r="F1049" s="1284"/>
      <c r="G1049" s="1284"/>
      <c r="H1049" s="1027"/>
      <c r="I1049" s="1152"/>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2615</v>
      </c>
      <c r="C1054" s="402"/>
      <c r="D1054" s="1290" t="s">
        <v>1813</v>
      </c>
      <c r="E1054" s="1290"/>
      <c r="F1054" s="1290"/>
      <c r="I1054" s="490"/>
    </row>
    <row r="1055" spans="1:9">
      <c r="A1055" s="402"/>
      <c r="B1055" s="402"/>
      <c r="C1055" s="402"/>
      <c r="D1055" s="1290"/>
      <c r="E1055" s="1290"/>
      <c r="F1055" s="1290"/>
      <c r="I1055" s="490"/>
    </row>
    <row r="1056" spans="1:9">
      <c r="A1056" s="402"/>
      <c r="B1056" s="402"/>
      <c r="C1056" s="402"/>
      <c r="D1056" s="1290"/>
      <c r="E1056" s="1290"/>
      <c r="F1056" s="1290"/>
      <c r="I1056" s="490"/>
    </row>
    <row r="1057" spans="1:9">
      <c r="A1057" s="402"/>
      <c r="B1057" s="402"/>
      <c r="C1057" s="402"/>
      <c r="D1057" s="1290"/>
      <c r="E1057" s="1290"/>
      <c r="F1057" s="1290"/>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2614</v>
      </c>
      <c r="C1062" s="402"/>
      <c r="D1062" s="402" t="s">
        <v>1811</v>
      </c>
      <c r="I1062" s="490"/>
    </row>
    <row r="1063" spans="1:9">
      <c r="A1063" s="402"/>
      <c r="B1063" s="402"/>
      <c r="C1063" s="402"/>
      <c r="I1063" s="490"/>
    </row>
    <row r="1064" spans="1:9">
      <c r="A1064" s="402"/>
      <c r="B1064" s="485" t="s">
        <v>2615</v>
      </c>
      <c r="C1064" s="402"/>
      <c r="D1064" s="1290" t="s">
        <v>1817</v>
      </c>
      <c r="E1064" s="1290"/>
      <c r="F1064" s="1290"/>
      <c r="I1064" s="490"/>
    </row>
    <row r="1065" spans="1:9">
      <c r="A1065" s="402"/>
      <c r="B1065" s="402"/>
      <c r="C1065" s="402"/>
      <c r="D1065" s="1290"/>
      <c r="E1065" s="1290"/>
      <c r="F1065" s="1290"/>
      <c r="I1065" s="490"/>
    </row>
    <row r="1066" spans="1:9">
      <c r="A1066" s="402"/>
      <c r="B1066" s="402"/>
      <c r="C1066" s="402"/>
      <c r="D1066" s="1290"/>
      <c r="E1066" s="1290"/>
      <c r="F1066" s="1290"/>
      <c r="I1066" s="490"/>
    </row>
    <row r="1067" spans="1:9">
      <c r="A1067" s="402"/>
      <c r="B1067" s="402"/>
      <c r="C1067" s="402"/>
      <c r="D1067" s="1290"/>
      <c r="E1067" s="1290"/>
      <c r="F1067" s="1290"/>
      <c r="I1067" s="490"/>
    </row>
    <row r="1068" spans="1:9">
      <c r="A1068" s="402"/>
      <c r="B1068" s="402"/>
      <c r="C1068" s="402"/>
      <c r="D1068" s="1290"/>
      <c r="E1068" s="1290"/>
      <c r="F1068" s="1290"/>
      <c r="I1068" s="490"/>
    </row>
    <row r="1069" spans="1:9">
      <c r="A1069" s="402"/>
      <c r="B1069" s="402"/>
      <c r="C1069" s="402"/>
      <c r="I1069" s="490"/>
    </row>
    <row r="1070" spans="1:9">
      <c r="A1070" s="1284" t="s">
        <v>1818</v>
      </c>
      <c r="B1070" s="1284"/>
      <c r="C1070" s="1284"/>
      <c r="D1070" s="1284"/>
      <c r="E1070" s="1284"/>
      <c r="F1070" s="1284"/>
      <c r="G1070" s="1284"/>
      <c r="H1070" s="1027"/>
      <c r="I1070" s="1152"/>
    </row>
    <row r="1071" spans="1:9">
      <c r="A1071" s="402"/>
      <c r="B1071" s="402"/>
      <c r="C1071" s="402"/>
      <c r="I1071" s="490"/>
    </row>
    <row r="1072" spans="1:9">
      <c r="A1072" s="402"/>
      <c r="B1072" s="402"/>
      <c r="C1072" s="402"/>
      <c r="I1072" s="490"/>
    </row>
    <row r="1073" spans="1:9">
      <c r="A1073" s="402"/>
      <c r="B1073" s="485" t="s">
        <v>2614</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2615</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2615</v>
      </c>
      <c r="C1079" s="402"/>
      <c r="D1079" s="119" t="s">
        <v>1827</v>
      </c>
      <c r="I1079" s="490"/>
    </row>
    <row r="1080" spans="1:9">
      <c r="A1080" s="402"/>
      <c r="B1080" s="402"/>
      <c r="C1080" s="402"/>
      <c r="D1080" s="1261" t="s">
        <v>1828</v>
      </c>
      <c r="E1080" s="1261"/>
      <c r="F1080" s="1261"/>
      <c r="I1080" s="490"/>
    </row>
    <row r="1081" spans="1:9">
      <c r="A1081" s="402"/>
      <c r="B1081" s="402"/>
      <c r="C1081" s="402"/>
      <c r="D1081" s="1261"/>
      <c r="E1081" s="1261"/>
      <c r="F1081" s="1261"/>
      <c r="I1081" s="490"/>
    </row>
    <row r="1082" spans="1:9">
      <c r="A1082" s="402"/>
      <c r="B1082" s="402"/>
      <c r="C1082" s="402"/>
      <c r="D1082" s="1261"/>
      <c r="E1082" s="1261"/>
      <c r="F1082" s="1261"/>
      <c r="I1082" s="490"/>
    </row>
    <row r="1083" spans="1:9">
      <c r="A1083" s="402"/>
      <c r="B1083" s="402"/>
      <c r="C1083" s="402"/>
      <c r="D1083" s="1261"/>
      <c r="E1083" s="1261"/>
      <c r="F1083" s="1261"/>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2615</v>
      </c>
      <c r="C1087" s="402"/>
      <c r="D1087" s="1289" t="s">
        <v>1820</v>
      </c>
      <c r="E1087" s="1289"/>
      <c r="F1087" s="1289"/>
      <c r="I1087" s="490"/>
    </row>
    <row r="1088" spans="1:9">
      <c r="A1088" s="402"/>
      <c r="B1088" s="402"/>
      <c r="C1088" s="402"/>
      <c r="D1088" s="1289"/>
      <c r="E1088" s="1289"/>
      <c r="F1088" s="1289"/>
      <c r="I1088" s="490"/>
    </row>
    <row r="1089" spans="1:9">
      <c r="A1089" s="402"/>
      <c r="B1089" s="402"/>
      <c r="C1089" s="402"/>
      <c r="D1089" s="1289"/>
      <c r="E1089" s="1289"/>
      <c r="F1089" s="1289"/>
      <c r="I1089" s="490"/>
    </row>
    <row r="1090" spans="1:9">
      <c r="A1090" s="402"/>
      <c r="B1090" s="402"/>
      <c r="C1090" s="402"/>
      <c r="D1090" s="1289"/>
      <c r="E1090" s="1289"/>
      <c r="F1090" s="1289"/>
      <c r="I1090" s="490"/>
    </row>
    <row r="1091" spans="1:9">
      <c r="A1091" s="402"/>
      <c r="B1091" s="402"/>
      <c r="C1091" s="402"/>
      <c r="D1091" s="1289"/>
      <c r="E1091" s="1289"/>
      <c r="F1091" s="1289"/>
      <c r="I1091" s="490"/>
    </row>
    <row r="1092" spans="1:9">
      <c r="A1092" s="402"/>
      <c r="B1092" s="402"/>
      <c r="C1092" s="402"/>
      <c r="D1092" s="527" t="s">
        <v>1825</v>
      </c>
      <c r="I1092" s="490"/>
    </row>
    <row r="1093" spans="1:9">
      <c r="A1093" s="402"/>
      <c r="B1093" s="402"/>
      <c r="C1093" s="402"/>
      <c r="I1093" s="490"/>
    </row>
    <row r="1094" spans="1:9">
      <c r="A1094" s="402"/>
      <c r="B1094" s="485" t="s">
        <v>2615</v>
      </c>
      <c r="C1094" s="402"/>
      <c r="D1094" s="1275" t="s">
        <v>2281</v>
      </c>
      <c r="E1094" s="1275"/>
      <c r="F1094" s="1275"/>
      <c r="I1094" s="490"/>
    </row>
    <row r="1095" spans="1:9">
      <c r="A1095" s="402"/>
      <c r="B1095" s="402"/>
      <c r="C1095" s="402"/>
      <c r="D1095" s="1275"/>
      <c r="E1095" s="1275"/>
      <c r="F1095" s="1275"/>
      <c r="I1095" s="490"/>
    </row>
    <row r="1096" spans="1:9">
      <c r="A1096" s="402"/>
      <c r="B1096" s="402"/>
      <c r="C1096" s="402"/>
      <c r="D1096" s="1275"/>
      <c r="E1096" s="1275"/>
      <c r="F1096" s="1275"/>
      <c r="I1096" s="490"/>
    </row>
    <row r="1097" spans="1:9">
      <c r="A1097" s="402"/>
      <c r="B1097" s="402"/>
      <c r="C1097" s="402"/>
      <c r="I1097" s="490"/>
    </row>
    <row r="1098" spans="1:9">
      <c r="A1098" s="1284" t="s">
        <v>1830</v>
      </c>
      <c r="B1098" s="1284"/>
      <c r="C1098" s="1284"/>
      <c r="D1098" s="1284"/>
      <c r="E1098" s="1284"/>
      <c r="F1098" s="1284"/>
      <c r="G1098" s="1284"/>
      <c r="H1098" s="1027"/>
      <c r="I1098" s="1152"/>
    </row>
    <row r="1099" spans="1:9">
      <c r="A1099" s="402"/>
      <c r="B1099" s="402"/>
      <c r="C1099" s="402"/>
      <c r="I1099" s="490"/>
    </row>
    <row r="1100" spans="1:9">
      <c r="A1100" s="402"/>
      <c r="B1100" s="402"/>
      <c r="C1100" s="402"/>
      <c r="I1100" s="490"/>
    </row>
    <row r="1101" spans="1:9" ht="12.75" customHeight="1">
      <c r="A1101" s="402"/>
      <c r="B1101" s="485" t="s">
        <v>2615</v>
      </c>
      <c r="C1101" s="402"/>
      <c r="D1101" s="1291" t="s">
        <v>1929</v>
      </c>
      <c r="E1101" s="1291"/>
      <c r="F1101" s="1291"/>
      <c r="I1101" s="490"/>
    </row>
    <row r="1102" spans="1:9">
      <c r="A1102" s="402"/>
      <c r="B1102" s="402"/>
      <c r="C1102" s="402"/>
      <c r="D1102" s="1291"/>
      <c r="E1102" s="1291"/>
      <c r="F1102" s="1291"/>
      <c r="I1102" s="490"/>
    </row>
    <row r="1103" spans="1:9">
      <c r="A1103" s="402"/>
      <c r="B1103" s="402"/>
      <c r="C1103" s="402"/>
      <c r="D1103" s="1292" t="s">
        <v>2143</v>
      </c>
      <c r="E1103" s="1261"/>
      <c r="F1103" s="1261"/>
      <c r="I1103" s="490"/>
    </row>
    <row r="1104" spans="1:9">
      <c r="A1104" s="402"/>
      <c r="B1104" s="402"/>
      <c r="C1104" s="402"/>
      <c r="D1104" s="527"/>
      <c r="I1104" s="490"/>
    </row>
    <row r="1105" spans="1:9">
      <c r="A1105" s="402"/>
      <c r="B1105" s="485" t="s">
        <v>2615</v>
      </c>
      <c r="C1105" s="402"/>
      <c r="D1105" s="1289" t="s">
        <v>1831</v>
      </c>
      <c r="E1105" s="1289"/>
      <c r="F1105" s="1289"/>
      <c r="I1105" s="490"/>
    </row>
    <row r="1106" spans="1:9">
      <c r="A1106" s="402"/>
      <c r="B1106" s="402"/>
      <c r="C1106" s="402"/>
      <c r="D1106" s="1289"/>
      <c r="E1106" s="1289"/>
      <c r="F1106" s="1289"/>
      <c r="I1106" s="490"/>
    </row>
    <row r="1107" spans="1:9">
      <c r="A1107" s="402"/>
      <c r="B1107" s="402"/>
      <c r="C1107" s="402"/>
      <c r="D1107" s="527"/>
      <c r="I1107" s="490"/>
    </row>
    <row r="1108" spans="1:9">
      <c r="A1108" s="402"/>
      <c r="B1108" s="485" t="s">
        <v>2615</v>
      </c>
      <c r="C1108" s="402"/>
      <c r="D1108" s="1289" t="s">
        <v>1887</v>
      </c>
      <c r="E1108" s="1289"/>
      <c r="F1108" s="1289"/>
      <c r="I1108" s="490"/>
    </row>
    <row r="1109" spans="1:9">
      <c r="A1109" s="402"/>
      <c r="B1109" s="402"/>
      <c r="C1109" s="402"/>
      <c r="D1109" s="1289"/>
      <c r="E1109" s="1289"/>
      <c r="F1109" s="1289"/>
      <c r="I1109" s="490"/>
    </row>
    <row r="1110" spans="1:9">
      <c r="A1110" s="402"/>
      <c r="B1110" s="402"/>
      <c r="C1110" s="402"/>
      <c r="D1110" s="1289"/>
      <c r="E1110" s="1289"/>
      <c r="F1110" s="1289"/>
      <c r="I1110" s="490"/>
    </row>
    <row r="1111" spans="1:9">
      <c r="A1111" s="402"/>
      <c r="B1111" s="402"/>
      <c r="C1111" s="402"/>
      <c r="D1111" s="1289"/>
      <c r="E1111" s="1289"/>
      <c r="F1111" s="1289"/>
      <c r="I1111" s="490"/>
    </row>
    <row r="1112" spans="1:9">
      <c r="A1112" s="402"/>
      <c r="B1112" s="402"/>
      <c r="C1112" s="402"/>
      <c r="D1112" s="1289"/>
      <c r="E1112" s="1289"/>
      <c r="F1112" s="1289"/>
      <c r="I1112" s="490"/>
    </row>
    <row r="1113" spans="1:9">
      <c r="A1113" s="402"/>
      <c r="B1113" s="402"/>
      <c r="C1113" s="402"/>
      <c r="D1113" s="1289"/>
      <c r="E1113" s="1289"/>
      <c r="F1113" s="1289"/>
      <c r="I1113" s="490"/>
    </row>
    <row r="1114" spans="1:9">
      <c r="A1114" s="402"/>
      <c r="B1114" s="402"/>
      <c r="C1114" s="402"/>
      <c r="D1114" s="527"/>
      <c r="I1114" s="480"/>
    </row>
    <row r="1115" spans="1:9">
      <c r="A1115" s="402"/>
      <c r="B1115" s="485" t="s">
        <v>2615</v>
      </c>
      <c r="C1115" s="402"/>
      <c r="D1115" s="1289" t="s">
        <v>1832</v>
      </c>
      <c r="E1115" s="1289"/>
      <c r="F1115" s="1289"/>
      <c r="I1115" s="490"/>
    </row>
    <row r="1116" spans="1:9">
      <c r="A1116" s="402"/>
      <c r="B1116" s="402"/>
      <c r="C1116" s="402"/>
      <c r="D1116" s="1289"/>
      <c r="E1116" s="1289"/>
      <c r="F1116" s="1289"/>
      <c r="I1116" s="490"/>
    </row>
    <row r="1117" spans="1:9">
      <c r="A1117" s="402"/>
      <c r="B1117" s="402"/>
      <c r="C1117" s="402"/>
      <c r="D1117" s="1289"/>
      <c r="E1117" s="1289"/>
      <c r="F1117" s="1289"/>
      <c r="I1117" s="490"/>
    </row>
    <row r="1118" spans="1:9">
      <c r="A1118" s="402"/>
      <c r="B1118" s="402"/>
      <c r="C1118" s="402"/>
      <c r="D1118" s="527"/>
      <c r="I1118" s="490"/>
    </row>
    <row r="1119" spans="1:9">
      <c r="A1119" s="402"/>
      <c r="B1119" s="485" t="s">
        <v>2614</v>
      </c>
      <c r="C1119" s="402"/>
      <c r="D1119" s="1266" t="s">
        <v>1888</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79"/>
      <c r="E1122" s="979"/>
      <c r="F1122" s="979"/>
      <c r="I1122" s="490"/>
    </row>
    <row r="1123" spans="1:9" ht="15.75" customHeight="1">
      <c r="A1123" s="402"/>
      <c r="B1123" s="485" t="s">
        <v>2615</v>
      </c>
      <c r="C1123" s="402"/>
      <c r="D1123" s="1261" t="s">
        <v>1889</v>
      </c>
      <c r="E1123" s="1261"/>
      <c r="F1123" s="1261"/>
      <c r="I1123" s="490"/>
    </row>
    <row r="1124" spans="1:9">
      <c r="A1124" s="402"/>
      <c r="B1124" s="402"/>
      <c r="C1124" s="402"/>
      <c r="D1124" s="1261"/>
      <c r="E1124" s="1261"/>
      <c r="F1124" s="1261"/>
      <c r="I1124" s="490"/>
    </row>
    <row r="1125" spans="1:9">
      <c r="A1125" s="402"/>
      <c r="B1125" s="402"/>
      <c r="C1125" s="402"/>
      <c r="D1125" s="1261"/>
      <c r="E1125" s="1261"/>
      <c r="F1125" s="1261"/>
      <c r="I1125" s="490"/>
    </row>
    <row r="1126" spans="1:9">
      <c r="A1126" s="402"/>
      <c r="B1126" s="402"/>
      <c r="C1126" s="402"/>
      <c r="D1126" s="1261"/>
      <c r="E1126" s="1261"/>
      <c r="F1126" s="1261"/>
      <c r="I1126" s="490"/>
    </row>
    <row r="1127" spans="1:9">
      <c r="A1127" s="402"/>
      <c r="B1127" s="402"/>
      <c r="C1127" s="402"/>
      <c r="D1127" s="979"/>
      <c r="E1127" s="979"/>
      <c r="F1127" s="979"/>
      <c r="I1127" s="490"/>
    </row>
    <row r="1128" spans="1:9">
      <c r="A1128" s="402"/>
      <c r="B1128" s="402"/>
      <c r="C1128" s="402"/>
      <c r="I1128" s="1158"/>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8"/>
      <c r="H1541" s="1308"/>
      <c r="I1541" s="1308"/>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526" workbookViewId="0">
      <selection activeCell="AM561" sqref="AM561:AS561"/>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0">
        <v>4</v>
      </c>
      <c r="BD1" s="3" t="s">
        <v>2497</v>
      </c>
      <c r="BE1" s="3"/>
      <c r="BF1" s="3"/>
    </row>
    <row r="2" spans="1:58" ht="12.95" customHeight="1">
      <c r="BD2" s="3" t="s">
        <v>2498</v>
      </c>
      <c r="BE2" s="3" t="s">
        <v>2499</v>
      </c>
      <c r="BF2" s="3" t="s">
        <v>2500</v>
      </c>
    </row>
    <row r="3" spans="1:58" ht="12.95" customHeight="1">
      <c r="BD3" s="3" t="s">
        <v>2595</v>
      </c>
      <c r="BE3" t="str">
        <f>AC220</f>
        <v>City of Los Angeles</v>
      </c>
    </row>
    <row r="4" spans="1:58" ht="12.95" customHeight="1">
      <c r="BD4" s="3" t="s">
        <v>2507</v>
      </c>
      <c r="BE4" s="1245"/>
    </row>
    <row r="5" spans="1:58" ht="12.95" customHeight="1">
      <c r="BD5" s="3" t="s">
        <v>2508</v>
      </c>
      <c r="BE5">
        <f>SUMIF($AC$718:$AC$752,"&lt;=20%",$G$718:G$752)</f>
        <v>0</v>
      </c>
      <c r="BF5" s="3" t="s">
        <v>2513</v>
      </c>
    </row>
    <row r="6" spans="1:58" ht="12.95" customHeight="1">
      <c r="BD6" s="3" t="s">
        <v>2509</v>
      </c>
      <c r="BE6" s="1248">
        <f>SUMIF($AC$718:$AC$752,"&lt;=25%",$G$718:G$752)-SUM($BE$5:BE5)</f>
        <v>0</v>
      </c>
    </row>
    <row r="7" spans="1:58" ht="12.95" customHeight="1">
      <c r="BD7" s="1246" t="s">
        <v>2501</v>
      </c>
      <c r="BE7" s="1248">
        <f>SUMIF($AC$718:$AC$752,"&lt;=30%",$G$718:G$752)-SUM($BE$5:BE6)</f>
        <v>43</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8"/>
      <c r="AV8" s="898"/>
      <c r="AW8" s="898"/>
      <c r="AX8" s="898"/>
      <c r="AY8" s="898"/>
      <c r="BD8" s="3" t="s">
        <v>2510</v>
      </c>
      <c r="BE8" s="1248">
        <f>SUMIF($AC$718:$AC$752,"&lt;=35%",$G$718:G$752)-SUM($BE$5:BE7)</f>
        <v>0</v>
      </c>
    </row>
    <row r="9" spans="1:58" ht="12.95" customHeight="1">
      <c r="A9" s="1346" t="s">
        <v>2076</v>
      </c>
      <c r="B9" s="1346"/>
      <c r="C9" s="1346"/>
      <c r="D9" s="1346"/>
      <c r="E9" s="1346"/>
      <c r="F9" s="1346"/>
      <c r="G9" s="1346"/>
      <c r="H9" s="1346"/>
      <c r="I9" s="1346"/>
      <c r="J9" s="1346"/>
      <c r="K9" s="1346"/>
      <c r="L9" s="1346"/>
      <c r="M9" s="1346"/>
      <c r="N9" s="1346"/>
      <c r="O9" s="1346"/>
      <c r="P9" s="1346"/>
      <c r="Q9" s="1346"/>
      <c r="R9" s="1346"/>
      <c r="S9" s="1346"/>
      <c r="T9" s="1346"/>
      <c r="U9" s="1346"/>
      <c r="V9" s="1346"/>
      <c r="W9" s="1346"/>
      <c r="X9" s="1346"/>
      <c r="Y9" s="1346"/>
      <c r="Z9" s="1346"/>
      <c r="AA9" s="1346"/>
      <c r="AB9" s="1346"/>
      <c r="AC9" s="1346"/>
      <c r="AD9" s="1346"/>
      <c r="AE9" s="1346"/>
      <c r="AF9" s="1346"/>
      <c r="AG9" s="1346"/>
      <c r="AH9" s="1346"/>
      <c r="AI9" s="1346"/>
      <c r="AJ9" s="1346"/>
      <c r="AK9" s="1346"/>
      <c r="AL9" s="1346"/>
      <c r="AM9" s="1346"/>
      <c r="AN9" s="1346"/>
      <c r="AO9" s="1346"/>
      <c r="AP9" s="1346"/>
      <c r="AQ9" s="1346"/>
      <c r="AR9" s="1346"/>
      <c r="AS9" s="1346"/>
      <c r="AT9" s="1346"/>
      <c r="AU9" s="13"/>
      <c r="AV9" s="13"/>
      <c r="AW9" s="13"/>
      <c r="AX9" s="13"/>
      <c r="AY9" s="13"/>
      <c r="BD9" s="1247" t="s">
        <v>2502</v>
      </c>
      <c r="BE9" s="1248">
        <f>SUMIF($AC$718:$AC$752,"&lt;=40%",$G$718:G$752)-SUM($BE$5:BE8)</f>
        <v>0</v>
      </c>
    </row>
    <row r="10" spans="1:58" ht="12.95" customHeight="1">
      <c r="A10" s="1346" t="s">
        <v>2459</v>
      </c>
      <c r="B10" s="1346"/>
      <c r="C10" s="1346"/>
      <c r="D10" s="1346"/>
      <c r="E10" s="1346"/>
      <c r="F10" s="1346"/>
      <c r="G10" s="1346"/>
      <c r="H10" s="1346"/>
      <c r="I10" s="1346"/>
      <c r="J10" s="1346"/>
      <c r="K10" s="1346"/>
      <c r="L10" s="1346"/>
      <c r="M10" s="1346"/>
      <c r="N10" s="1346"/>
      <c r="O10" s="1346"/>
      <c r="P10" s="1346"/>
      <c r="Q10" s="1346"/>
      <c r="R10" s="1346"/>
      <c r="S10" s="1346"/>
      <c r="T10" s="1346"/>
      <c r="U10" s="1346"/>
      <c r="V10" s="1346"/>
      <c r="W10" s="1346"/>
      <c r="X10" s="1346"/>
      <c r="Y10" s="1346"/>
      <c r="Z10" s="1346"/>
      <c r="AA10" s="1346"/>
      <c r="AB10" s="1346"/>
      <c r="AC10" s="1346"/>
      <c r="AD10" s="1346"/>
      <c r="AE10" s="1346"/>
      <c r="AF10" s="1346"/>
      <c r="AG10" s="1346"/>
      <c r="AH10" s="1346"/>
      <c r="AI10" s="1346"/>
      <c r="AJ10" s="1346"/>
      <c r="AK10" s="1346"/>
      <c r="AL10" s="1346"/>
      <c r="AM10" s="1346"/>
      <c r="AN10" s="1346"/>
      <c r="AO10" s="1346"/>
      <c r="AP10" s="1346"/>
      <c r="AQ10" s="1346"/>
      <c r="AR10" s="1346"/>
      <c r="AS10" s="1346"/>
      <c r="AT10" s="1346"/>
      <c r="AU10" s="13"/>
      <c r="AV10" s="13"/>
      <c r="AW10" s="13"/>
      <c r="AX10" s="13"/>
      <c r="AY10" s="13"/>
      <c r="BD10" s="3" t="s">
        <v>2511</v>
      </c>
      <c r="BE10" s="1248">
        <f>SUMIF($AC$718:$AC$752,"&lt;=45%",$G$718:G$752)-SUM($BE$5:BE9)</f>
        <v>0</v>
      </c>
    </row>
    <row r="11" spans="1:58" ht="12.95" customHeight="1">
      <c r="A11" s="1346" t="s">
        <v>2605</v>
      </c>
      <c r="B11" s="1346"/>
      <c r="C11" s="1346"/>
      <c r="D11" s="1346"/>
      <c r="E11" s="1346"/>
      <c r="F11" s="1346"/>
      <c r="G11" s="1346"/>
      <c r="H11" s="1346"/>
      <c r="I11" s="1346"/>
      <c r="J11" s="1346"/>
      <c r="K11" s="1346"/>
      <c r="L11" s="1346"/>
      <c r="M11" s="1346"/>
      <c r="N11" s="1346"/>
      <c r="O11" s="1346"/>
      <c r="P11" s="1346"/>
      <c r="Q11" s="1346"/>
      <c r="R11" s="1346"/>
      <c r="S11" s="1346"/>
      <c r="T11" s="1346"/>
      <c r="U11" s="1346"/>
      <c r="V11" s="1346"/>
      <c r="W11" s="1346"/>
      <c r="X11" s="1346"/>
      <c r="Y11" s="1346"/>
      <c r="Z11" s="1346"/>
      <c r="AA11" s="1346"/>
      <c r="AB11" s="1346"/>
      <c r="AC11" s="1346"/>
      <c r="AD11" s="1346"/>
      <c r="AE11" s="1346"/>
      <c r="AF11" s="1346"/>
      <c r="AG11" s="1346"/>
      <c r="AH11" s="1346"/>
      <c r="AI11" s="1346"/>
      <c r="AJ11" s="1346"/>
      <c r="AK11" s="1346"/>
      <c r="AL11" s="1346"/>
      <c r="AM11" s="1346"/>
      <c r="AN11" s="1346"/>
      <c r="AO11" s="1346"/>
      <c r="AP11" s="1346"/>
      <c r="AQ11" s="1346"/>
      <c r="AR11" s="1346"/>
      <c r="AS11" s="1346"/>
      <c r="AT11" s="1346"/>
      <c r="AU11" s="13"/>
      <c r="AV11" s="13"/>
      <c r="AW11" s="13"/>
      <c r="AX11" s="13"/>
      <c r="AY11" s="13"/>
      <c r="BD11" s="1246" t="s">
        <v>2503</v>
      </c>
      <c r="BE11" s="1248">
        <f>SUMIF($AC$718:$AC$752,"&lt;=50%",$G$718:G$752)-SUM($BE$5:BE10)</f>
        <v>36</v>
      </c>
    </row>
    <row r="12" spans="1:58" ht="12.95" customHeight="1">
      <c r="A12" s="1413" t="s">
        <v>2610</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2512</v>
      </c>
      <c r="BE12" s="1248">
        <f>SUMIF($AC$718:$AC$752,"&lt;=55%",$G$718:G$752)-SUM($BE$5:BE11)</f>
        <v>0</v>
      </c>
    </row>
    <row r="13" spans="1:58" ht="12.95" customHeight="1">
      <c r="A13" s="1259" t="s">
        <v>2077</v>
      </c>
      <c r="B13" s="1259"/>
      <c r="C13" s="1259"/>
      <c r="D13" s="1259"/>
      <c r="E13" s="1259"/>
      <c r="F13" s="1259"/>
      <c r="G13" s="1259"/>
      <c r="H13" s="1259"/>
      <c r="I13" s="1259"/>
      <c r="J13" s="1259"/>
      <c r="K13" s="1259"/>
      <c r="L13" s="1259"/>
      <c r="M13" s="1259"/>
      <c r="N13" s="1259"/>
      <c r="O13" s="1259"/>
      <c r="P13" s="1259"/>
      <c r="Q13" s="1259"/>
      <c r="R13" s="1259"/>
      <c r="S13" s="1259"/>
      <c r="T13" s="1259"/>
      <c r="U13" s="1259"/>
      <c r="V13" s="1259"/>
      <c r="W13" s="1259"/>
      <c r="X13" s="1259"/>
      <c r="Y13" s="1259"/>
      <c r="Z13" s="1259"/>
      <c r="AA13" s="1259"/>
      <c r="AB13" s="1259"/>
      <c r="AC13" s="1259"/>
      <c r="AD13" s="1259"/>
      <c r="AE13" s="1259"/>
      <c r="AF13" s="1259"/>
      <c r="AG13" s="1259"/>
      <c r="AH13" s="1259"/>
      <c r="AI13" s="1259"/>
      <c r="AJ13" s="1259"/>
      <c r="AK13" s="1259"/>
      <c r="AL13" s="1259"/>
      <c r="AM13" s="1259"/>
      <c r="AN13" s="1259"/>
      <c r="AO13" s="1259"/>
      <c r="AP13" s="1259"/>
      <c r="AQ13" s="1259"/>
      <c r="AR13" s="1259"/>
      <c r="AS13" s="1259"/>
      <c r="AT13" s="1259"/>
      <c r="AU13" s="899"/>
      <c r="AV13" s="899"/>
      <c r="AW13" s="899"/>
      <c r="AX13" s="899"/>
      <c r="AY13" s="899"/>
      <c r="BD13" s="1247" t="s">
        <v>2504</v>
      </c>
      <c r="BE13" s="1248">
        <f>SUMIF($AC$718:$AC$752,"&lt;=60%",$G$718:G$752)-SUM($BE$5:BE12)</f>
        <v>147</v>
      </c>
    </row>
    <row r="14" spans="1:58" ht="12.95" customHeight="1">
      <c r="A14" s="1259"/>
      <c r="B14" s="1259"/>
      <c r="C14" s="1259"/>
      <c r="D14" s="1259"/>
      <c r="E14" s="1259"/>
      <c r="F14" s="1259"/>
      <c r="G14" s="1259"/>
      <c r="H14" s="1259"/>
      <c r="I14" s="1259"/>
      <c r="J14" s="1259"/>
      <c r="K14" s="1259"/>
      <c r="L14" s="1259"/>
      <c r="M14" s="1259"/>
      <c r="N14" s="1259"/>
      <c r="O14" s="1259"/>
      <c r="P14" s="1259"/>
      <c r="Q14" s="1259"/>
      <c r="R14" s="1259"/>
      <c r="S14" s="1259"/>
      <c r="T14" s="1259"/>
      <c r="U14" s="1259"/>
      <c r="V14" s="1259"/>
      <c r="W14" s="1259"/>
      <c r="X14" s="1259"/>
      <c r="Y14" s="1259"/>
      <c r="Z14" s="1259"/>
      <c r="AA14" s="1259"/>
      <c r="AB14" s="1259"/>
      <c r="AC14" s="1259"/>
      <c r="AD14" s="1259"/>
      <c r="AE14" s="1259"/>
      <c r="AF14" s="1259"/>
      <c r="AG14" s="1259"/>
      <c r="AH14" s="1259"/>
      <c r="AI14" s="1259"/>
      <c r="AJ14" s="1259"/>
      <c r="AK14" s="1259"/>
      <c r="AL14" s="1259"/>
      <c r="AM14" s="1259"/>
      <c r="AN14" s="1259"/>
      <c r="AO14" s="1259"/>
      <c r="AP14" s="1259"/>
      <c r="AQ14" s="1259"/>
      <c r="AR14" s="1259"/>
      <c r="AS14" s="1259"/>
      <c r="AT14" s="1259"/>
      <c r="AU14" s="899"/>
      <c r="AV14" s="899"/>
      <c r="AW14" s="899"/>
      <c r="AX14" s="899"/>
      <c r="AY14" s="899"/>
      <c r="BD14" s="1246" t="s">
        <v>2505</v>
      </c>
      <c r="BE14" s="1248">
        <f>SUMIF($AC$718:$AC$752,"&lt;=70%",$G$718:G$752)-SUM($BE$5:BE13)</f>
        <v>165</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7" t="s">
        <v>2506</v>
      </c>
      <c r="BE15" s="1248">
        <f>SUMIF($AC$718:$AC$752,"&lt;=80%",$G$718:G$752)-SUM($BE$5:BE14)</f>
        <v>0</v>
      </c>
    </row>
    <row r="16" spans="1:58" ht="12.95" customHeight="1">
      <c r="A16" s="57" t="s">
        <v>2078</v>
      </c>
      <c r="C16" s="4"/>
      <c r="D16" s="4"/>
      <c r="E16" s="4"/>
      <c r="F16" s="4"/>
      <c r="G16" s="4"/>
      <c r="H16" s="1421" t="s">
        <v>2748</v>
      </c>
      <c r="I16" s="1422"/>
      <c r="J16" s="1422"/>
      <c r="K16" s="1422"/>
      <c r="L16" s="1422"/>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BD16" s="1247" t="s">
        <v>656</v>
      </c>
      <c r="BE16" s="1248" t="str">
        <f>Application!H18</f>
        <v xml:space="preserve">21010 Vanowen </v>
      </c>
    </row>
    <row r="17" spans="1:58" ht="12.95" customHeight="1">
      <c r="BD17" s="1246" t="s">
        <v>2519</v>
      </c>
      <c r="BE17" s="1248">
        <f>Application!AA934</f>
        <v>0</v>
      </c>
    </row>
    <row r="18" spans="1:58" ht="12.95" customHeight="1">
      <c r="A18" s="57" t="s">
        <v>101</v>
      </c>
      <c r="C18" s="4"/>
      <c r="D18" s="4"/>
      <c r="E18" s="4"/>
      <c r="F18" s="4"/>
      <c r="G18" s="4"/>
      <c r="H18" s="1418" t="s">
        <v>2611</v>
      </c>
      <c r="I18" s="1419"/>
      <c r="J18" s="1419"/>
      <c r="K18" s="1419"/>
      <c r="L18" s="1419"/>
      <c r="M18" s="1419"/>
      <c r="N18" s="1419"/>
      <c r="O18" s="1419"/>
      <c r="P18" s="1419"/>
      <c r="Q18" s="1419"/>
      <c r="R18" s="1419"/>
      <c r="S18" s="1419"/>
      <c r="T18" s="1419"/>
      <c r="U18" s="1419"/>
      <c r="V18" s="1419"/>
      <c r="W18" s="1419"/>
      <c r="X18" s="1419"/>
      <c r="Y18" s="1419"/>
      <c r="Z18" s="1419"/>
      <c r="AA18" s="1419"/>
      <c r="AB18" s="1419"/>
      <c r="AC18" s="1419"/>
      <c r="AD18" s="1419"/>
      <c r="AE18" s="1419"/>
      <c r="AF18" s="1419"/>
      <c r="AG18" s="1419"/>
      <c r="AH18" s="1419"/>
      <c r="AI18" s="1419"/>
      <c r="AJ18" s="1419"/>
      <c r="BD18" s="1247" t="s">
        <v>2520</v>
      </c>
      <c r="BE18" s="1248">
        <f>'CalHFA Addendum'!N11</f>
        <v>0</v>
      </c>
    </row>
    <row r="19" spans="1:58" ht="12.95" customHeight="1">
      <c r="BD19" s="1246" t="s">
        <v>2521</v>
      </c>
      <c r="BE19" s="1248">
        <f>Application!M26</f>
        <v>5922079</v>
      </c>
    </row>
    <row r="20" spans="1:58" ht="12.95" customHeight="1">
      <c r="A20" s="1414" t="s">
        <v>873</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0"/>
      <c r="AV20" s="900"/>
      <c r="AW20" s="900"/>
      <c r="AX20" s="900"/>
      <c r="AY20" s="900"/>
      <c r="BD20" s="1247" t="s">
        <v>2522</v>
      </c>
      <c r="BE20" s="1248">
        <f>Application!M27</f>
        <v>0</v>
      </c>
    </row>
    <row r="21" spans="1:58" ht="12.95" customHeight="1">
      <c r="A21" s="1423" t="s">
        <v>1008</v>
      </c>
      <c r="B21" s="1423"/>
      <c r="C21" s="1423"/>
      <c r="D21" s="1423"/>
      <c r="E21" s="1423"/>
      <c r="F21" s="1423"/>
      <c r="G21" s="1423"/>
      <c r="H21" s="1423"/>
      <c r="I21" s="1423"/>
      <c r="J21" s="1423"/>
      <c r="K21" s="1423"/>
      <c r="L21" s="1423"/>
      <c r="M21" s="1423"/>
      <c r="N21" s="1423"/>
      <c r="O21" s="1423"/>
      <c r="P21" s="1423"/>
      <c r="Q21" s="1423"/>
      <c r="R21" s="1423"/>
      <c r="S21" s="1423"/>
      <c r="T21" s="1423"/>
      <c r="U21" s="1423"/>
      <c r="V21" s="1423"/>
      <c r="W21" s="1423"/>
      <c r="X21" s="1423"/>
      <c r="Y21" s="1423"/>
      <c r="Z21" s="1423"/>
      <c r="AA21" s="1423"/>
      <c r="AB21" s="1423"/>
      <c r="AC21" s="1423"/>
      <c r="AD21" s="1423"/>
      <c r="AE21" s="1423"/>
      <c r="AF21" s="1423"/>
      <c r="AG21" s="1423"/>
      <c r="AH21" s="1423"/>
      <c r="AI21" s="1423"/>
      <c r="AJ21" s="1423"/>
      <c r="AK21" s="1423"/>
      <c r="AL21" s="1423"/>
      <c r="AM21" s="901"/>
      <c r="AN21" s="901"/>
      <c r="AO21" s="901"/>
      <c r="AP21" s="901"/>
      <c r="AQ21" s="901"/>
      <c r="AR21" s="901"/>
      <c r="AS21" s="901"/>
      <c r="AT21" s="901"/>
      <c r="AU21" s="901"/>
      <c r="AV21" s="901"/>
      <c r="AW21" s="901"/>
      <c r="AX21" s="901"/>
      <c r="AY21" s="901"/>
      <c r="BD21" s="1246" t="s">
        <v>2523</v>
      </c>
      <c r="BE21" s="1248">
        <f>Application!AM554</f>
        <v>57500000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7" t="s">
        <v>283</v>
      </c>
      <c r="BE22" s="1248">
        <f>'Sources and Uses Budget'!B105</f>
        <v>124739671</v>
      </c>
      <c r="BF22" s="3" t="s">
        <v>2596</v>
      </c>
    </row>
    <row r="23" spans="1:58" ht="12.95" customHeight="1">
      <c r="A23" s="1291" t="s">
        <v>2146</v>
      </c>
      <c r="B23" s="1291"/>
      <c r="C23" s="1291"/>
      <c r="D23" s="1291"/>
      <c r="E23" s="1291"/>
      <c r="F23" s="1291"/>
      <c r="G23" s="1291"/>
      <c r="H23" s="1291"/>
      <c r="I23" s="1291"/>
      <c r="J23" s="1291"/>
      <c r="K23" s="1291"/>
      <c r="L23" s="1291"/>
      <c r="M23" s="1291"/>
      <c r="N23" s="1291"/>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8"/>
      <c r="AV23" s="18"/>
      <c r="AW23" s="18"/>
      <c r="AX23" s="18"/>
      <c r="AY23" s="18"/>
      <c r="AZ23" s="18"/>
      <c r="BD23" s="1246" t="s">
        <v>2524</v>
      </c>
      <c r="BE23" s="1248">
        <f>'Sources and Uses Budget'!B4</f>
        <v>0</v>
      </c>
    </row>
    <row r="24" spans="1:58" ht="12.95" customHeight="1">
      <c r="A24" s="1291"/>
      <c r="B24" s="1291"/>
      <c r="C24" s="1291"/>
      <c r="D24" s="1291"/>
      <c r="E24" s="1291"/>
      <c r="F24" s="1291"/>
      <c r="G24" s="1291"/>
      <c r="H24" s="1291"/>
      <c r="I24" s="1291"/>
      <c r="J24" s="1291"/>
      <c r="K24" s="1291"/>
      <c r="L24" s="1291"/>
      <c r="M24" s="1291"/>
      <c r="N24" s="1291"/>
      <c r="O24" s="1291"/>
      <c r="P24" s="1291"/>
      <c r="Q24" s="1291"/>
      <c r="R24" s="1291"/>
      <c r="S24" s="1291"/>
      <c r="T24" s="1291"/>
      <c r="U24" s="1291"/>
      <c r="V24" s="1291"/>
      <c r="W24" s="1291"/>
      <c r="X24" s="1291"/>
      <c r="Y24" s="1291"/>
      <c r="Z24" s="1291"/>
      <c r="AA24" s="1291"/>
      <c r="AB24" s="1291"/>
      <c r="AC24" s="1291"/>
      <c r="AD24" s="1291"/>
      <c r="AE24" s="1291"/>
      <c r="AF24" s="1291"/>
      <c r="AG24" s="1291"/>
      <c r="AH24" s="1291"/>
      <c r="AI24" s="1291"/>
      <c r="AJ24" s="1291"/>
      <c r="AK24" s="1291"/>
      <c r="AL24" s="1291"/>
      <c r="AM24" s="1291"/>
      <c r="AN24" s="1291"/>
      <c r="AO24" s="1291"/>
      <c r="AP24" s="1291"/>
      <c r="AQ24" s="1291"/>
      <c r="AR24" s="1291"/>
      <c r="AS24" s="1291"/>
      <c r="AT24" s="1291"/>
      <c r="AU24" s="18"/>
      <c r="AV24" s="18"/>
      <c r="AW24" s="18"/>
      <c r="AX24" s="18"/>
      <c r="AY24" s="18"/>
      <c r="AZ24" s="18"/>
      <c r="BD24" s="1247" t="s">
        <v>2525</v>
      </c>
      <c r="BE24" s="1248">
        <f>Application!AG450</f>
        <v>349900</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6" t="s">
        <v>2526</v>
      </c>
      <c r="BE25" s="1248" t="str">
        <f>Application!D208</f>
        <v>40%/60% Average Income</v>
      </c>
    </row>
    <row r="26" spans="1:58" ht="12.95" customHeight="1">
      <c r="A26" s="4"/>
      <c r="C26" s="4"/>
      <c r="D26" s="4"/>
      <c r="E26" s="4"/>
      <c r="F26" s="4"/>
      <c r="G26" s="4"/>
      <c r="H26" s="4"/>
      <c r="I26" s="4"/>
      <c r="J26" s="4"/>
      <c r="K26" s="4"/>
      <c r="L26" s="4"/>
      <c r="M26" s="1420">
        <f>'Basis &amp; Credits'!AB56</f>
        <v>5922079</v>
      </c>
      <c r="N26" s="1420"/>
      <c r="O26" s="1420"/>
      <c r="P26" s="1420"/>
      <c r="Q26" s="1420"/>
      <c r="R26" s="4" t="s">
        <v>759</v>
      </c>
      <c r="S26" s="4"/>
      <c r="T26" s="4"/>
      <c r="U26" s="4"/>
      <c r="V26" s="4"/>
      <c r="W26" s="4"/>
      <c r="X26" s="4"/>
      <c r="Y26" s="4"/>
      <c r="Z26" s="4"/>
      <c r="AF26" s="4"/>
      <c r="AG26" s="4"/>
      <c r="AH26" s="4"/>
      <c r="AI26" s="4"/>
      <c r="AJ26" s="4"/>
      <c r="AK26" s="4"/>
      <c r="BD26" s="1247" t="s">
        <v>1638</v>
      </c>
      <c r="BE26" s="1248" t="b">
        <f>Application!M356="Yes"</f>
        <v>0</v>
      </c>
    </row>
    <row r="27" spans="1:58" ht="12.95" customHeight="1">
      <c r="A27" s="4"/>
      <c r="C27" s="4"/>
      <c r="D27" s="4"/>
      <c r="E27" s="4"/>
      <c r="F27" s="4"/>
      <c r="G27" s="4"/>
      <c r="H27" s="4"/>
      <c r="I27" s="4"/>
      <c r="J27" s="4"/>
      <c r="K27" s="4"/>
      <c r="L27" s="4"/>
      <c r="M27" s="1341">
        <f>'Basis &amp; Credits'!AB78</f>
        <v>0</v>
      </c>
      <c r="N27" s="1341"/>
      <c r="O27" s="1341"/>
      <c r="P27" s="1341"/>
      <c r="Q27" s="1341"/>
      <c r="R27" s="3" t="s">
        <v>1266</v>
      </c>
      <c r="S27" s="4"/>
      <c r="T27" s="4"/>
      <c r="U27" s="4"/>
      <c r="V27" s="4"/>
      <c r="W27" s="4"/>
      <c r="X27" s="4"/>
      <c r="Y27" s="4"/>
      <c r="Z27" s="4"/>
      <c r="AF27" s="4"/>
      <c r="AG27" s="4"/>
      <c r="AH27" s="4"/>
      <c r="AI27" s="4"/>
      <c r="AJ27" s="4"/>
      <c r="AK27" s="4"/>
      <c r="BD27" s="1246" t="s">
        <v>2098</v>
      </c>
      <c r="BE27" s="1248"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7" t="s">
        <v>2527</v>
      </c>
      <c r="BE28" s="1248" t="b">
        <f>Application!M357="Yes"</f>
        <v>0</v>
      </c>
    </row>
    <row r="29" spans="1:58" ht="12.95" customHeight="1">
      <c r="A29" s="1415" t="s">
        <v>2147</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46" t="s">
        <v>2528</v>
      </c>
      <c r="BE29" s="1248" t="b">
        <f>Application!M358="Yes"</f>
        <v>0</v>
      </c>
    </row>
    <row r="30" spans="1:58" ht="12.95"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47" t="s">
        <v>28</v>
      </c>
      <c r="BE30" s="1248" t="b">
        <f>Application!AJ355="Yes"</f>
        <v>1</v>
      </c>
    </row>
    <row r="31" spans="1:58" ht="12.95"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46" t="s">
        <v>2529</v>
      </c>
      <c r="BE31" s="1248"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7" t="s">
        <v>2530</v>
      </c>
      <c r="BE32" s="1248">
        <f>IF(ISNUMBER(Application!W465),W465,0)</f>
        <v>0</v>
      </c>
    </row>
    <row r="33" spans="1:57" ht="12.95" customHeight="1">
      <c r="A33" s="519" t="s">
        <v>1277</v>
      </c>
      <c r="C33" s="519"/>
      <c r="D33" s="519"/>
      <c r="E33" s="519"/>
      <c r="F33" s="519"/>
      <c r="G33" s="519"/>
      <c r="H33" s="519"/>
      <c r="I33" s="519"/>
      <c r="J33" s="519"/>
      <c r="K33" s="519"/>
      <c r="L33" s="519"/>
      <c r="M33" s="519"/>
      <c r="N33" s="519"/>
      <c r="O33" s="1331" t="s">
        <v>669</v>
      </c>
      <c r="P33" s="1331"/>
      <c r="Q33" s="1416" t="s">
        <v>2148</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46" t="s">
        <v>2597</v>
      </c>
      <c r="BE33" s="1248" t="str">
        <f>Application!D220</f>
        <v>City of Los Angeles</v>
      </c>
    </row>
    <row r="34" spans="1:57" ht="12.95" customHeight="1">
      <c r="A34" s="1415" t="s">
        <v>2149</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47" t="s">
        <v>2531</v>
      </c>
      <c r="BE34" s="1248" t="str">
        <f>Application!I185</f>
        <v>21010 Vanowen Street</v>
      </c>
    </row>
    <row r="35" spans="1:57" ht="12.95"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46" t="s">
        <v>2532</v>
      </c>
      <c r="BE35" s="1248" t="str">
        <f>IF(Application!E187="","",Application!E187)</f>
        <v/>
      </c>
    </row>
    <row r="36" spans="1:57" ht="12.95"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47" t="s">
        <v>2533</v>
      </c>
      <c r="BE36" s="1248" t="str">
        <f>Application!I189</f>
        <v>Los Angeles</v>
      </c>
    </row>
    <row r="37" spans="1:57" ht="12.95"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46" t="s">
        <v>2534</v>
      </c>
      <c r="BE37" s="1248" t="str">
        <f>Application!T189</f>
        <v>Los Angeles</v>
      </c>
    </row>
    <row r="38" spans="1:57" ht="12.95" customHeight="1">
      <c r="A38" s="3"/>
      <c r="AZ38" s="20"/>
      <c r="BD38" s="1247" t="s">
        <v>2535</v>
      </c>
      <c r="BE38" s="1248">
        <f>Application!I190</f>
        <v>91303</v>
      </c>
    </row>
    <row r="39" spans="1:57" ht="12.95" customHeight="1">
      <c r="A39" s="1261" t="s">
        <v>2150</v>
      </c>
      <c r="B39" s="1261"/>
      <c r="C39" s="1261"/>
      <c r="D39" s="1261"/>
      <c r="E39" s="1261"/>
      <c r="F39" s="1261"/>
      <c r="G39" s="1261"/>
      <c r="H39" s="1261"/>
      <c r="I39" s="1261"/>
      <c r="J39" s="1261"/>
      <c r="K39" s="1261"/>
      <c r="L39" s="1261"/>
      <c r="M39" s="1261"/>
      <c r="N39" s="1261"/>
      <c r="O39" s="1261"/>
      <c r="P39" s="1261"/>
      <c r="Q39" s="1261"/>
      <c r="R39" s="1261"/>
      <c r="S39" s="1261"/>
      <c r="T39" s="1261"/>
      <c r="U39" s="1261"/>
      <c r="V39" s="1261"/>
      <c r="W39" s="1261"/>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61"/>
      <c r="AS39" s="1261"/>
      <c r="AT39" s="1261"/>
      <c r="AZ39" s="20"/>
      <c r="BD39" s="1246" t="s">
        <v>2536</v>
      </c>
      <c r="BE39" s="1248">
        <f>Application!AG437</f>
        <v>395</v>
      </c>
    </row>
    <row r="40" spans="1:57" ht="12.95" customHeight="1">
      <c r="A40" s="1261"/>
      <c r="B40" s="1261"/>
      <c r="C40" s="1261"/>
      <c r="D40" s="1261"/>
      <c r="E40" s="1261"/>
      <c r="F40" s="1261"/>
      <c r="G40" s="1261"/>
      <c r="H40" s="1261"/>
      <c r="I40" s="1261"/>
      <c r="J40" s="1261"/>
      <c r="K40" s="1261"/>
      <c r="L40" s="1261"/>
      <c r="M40" s="1261"/>
      <c r="N40" s="1261"/>
      <c r="O40" s="1261"/>
      <c r="P40" s="1261"/>
      <c r="Q40" s="1261"/>
      <c r="R40" s="1261"/>
      <c r="S40" s="1261"/>
      <c r="T40" s="1261"/>
      <c r="U40" s="1261"/>
      <c r="V40" s="1261"/>
      <c r="W40" s="1261"/>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61"/>
      <c r="AS40" s="1261"/>
      <c r="AT40" s="1261"/>
      <c r="AU40" s="20"/>
      <c r="AV40" s="20"/>
      <c r="AW40" s="20"/>
      <c r="AX40" s="20"/>
      <c r="AY40" s="20"/>
      <c r="AZ40" s="20"/>
      <c r="BD40" s="1247" t="s">
        <v>384</v>
      </c>
      <c r="BE40" s="1248">
        <f>Application!AG440</f>
        <v>391</v>
      </c>
    </row>
    <row r="41" spans="1:57" ht="12.95" customHeight="1">
      <c r="A41" s="1261"/>
      <c r="B41" s="1261"/>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61"/>
      <c r="AS41" s="1261"/>
      <c r="AT41" s="1261"/>
      <c r="AU41" s="20"/>
      <c r="AV41" s="20"/>
      <c r="AW41" s="20"/>
      <c r="AX41" s="20"/>
      <c r="AY41" s="20"/>
      <c r="AZ41" s="20"/>
      <c r="BD41" s="1246" t="s">
        <v>287</v>
      </c>
      <c r="BE41" s="1248">
        <f>Application!AG438</f>
        <v>0</v>
      </c>
    </row>
    <row r="42" spans="1:57" ht="12.95" customHeight="1">
      <c r="A42" s="1261"/>
      <c r="B42" s="1261"/>
      <c r="C42" s="1261"/>
      <c r="D42" s="1261"/>
      <c r="E42" s="1261"/>
      <c r="F42" s="1261"/>
      <c r="G42" s="1261"/>
      <c r="H42" s="1261"/>
      <c r="I42" s="1261"/>
      <c r="J42" s="1261"/>
      <c r="K42" s="1261"/>
      <c r="L42" s="1261"/>
      <c r="M42" s="1261"/>
      <c r="N42" s="1261"/>
      <c r="O42" s="1261"/>
      <c r="P42" s="1261"/>
      <c r="Q42" s="1261"/>
      <c r="R42" s="1261"/>
      <c r="S42" s="1261"/>
      <c r="T42" s="1261"/>
      <c r="U42" s="1261"/>
      <c r="V42" s="1261"/>
      <c r="W42" s="1261"/>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61"/>
      <c r="AS42" s="1261"/>
      <c r="AT42" s="1261"/>
      <c r="AZ42" s="20"/>
      <c r="BD42" s="1247" t="s">
        <v>2537</v>
      </c>
      <c r="BE42" s="1250">
        <f>Application!AC753</f>
        <v>0.6</v>
      </c>
    </row>
    <row r="43" spans="1:57" ht="12.95" customHeight="1">
      <c r="A43" s="1261"/>
      <c r="B43" s="1261"/>
      <c r="C43" s="1261"/>
      <c r="D43" s="1261"/>
      <c r="E43" s="1261"/>
      <c r="F43" s="1261"/>
      <c r="G43" s="1261"/>
      <c r="H43" s="1261"/>
      <c r="I43" s="1261"/>
      <c r="J43" s="1261"/>
      <c r="K43" s="1261"/>
      <c r="L43" s="1261"/>
      <c r="M43" s="1261"/>
      <c r="N43" s="1261"/>
      <c r="O43" s="1261"/>
      <c r="P43" s="1261"/>
      <c r="Q43" s="1261"/>
      <c r="R43" s="1261"/>
      <c r="S43" s="1261"/>
      <c r="T43" s="1261"/>
      <c r="U43" s="1261"/>
      <c r="V43" s="1261"/>
      <c r="W43" s="1261"/>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61"/>
      <c r="AS43" s="1261"/>
      <c r="AT43" s="1261"/>
      <c r="AU43" s="20"/>
      <c r="AV43" s="20"/>
      <c r="AW43" s="20"/>
      <c r="AX43" s="20"/>
      <c r="AY43" s="20"/>
      <c r="AZ43" s="20"/>
      <c r="BD43" s="1246" t="s">
        <v>2538</v>
      </c>
      <c r="BE43" s="1250">
        <f>Application!AH753</f>
        <v>0.60000420500605978</v>
      </c>
    </row>
    <row r="44" spans="1:57" ht="12.95" customHeight="1">
      <c r="A44" s="1261"/>
      <c r="B44" s="1261"/>
      <c r="C44" s="1261"/>
      <c r="D44" s="1261"/>
      <c r="E44" s="1261"/>
      <c r="F44" s="1261"/>
      <c r="G44" s="1261"/>
      <c r="H44" s="1261"/>
      <c r="I44" s="1261"/>
      <c r="J44" s="1261"/>
      <c r="K44" s="1261"/>
      <c r="L44" s="1261"/>
      <c r="M44" s="1261"/>
      <c r="N44" s="1261"/>
      <c r="O44" s="1261"/>
      <c r="P44" s="1261"/>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20"/>
      <c r="AV44" s="20"/>
      <c r="AW44" s="20"/>
      <c r="AX44" s="20"/>
      <c r="AY44" s="20"/>
      <c r="AZ44" s="20"/>
      <c r="BD44" s="1247" t="s">
        <v>2539</v>
      </c>
      <c r="BE44" s="1248">
        <f>Application!AC454</f>
        <v>315796.63544303796</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6" t="s">
        <v>2540</v>
      </c>
      <c r="BE45" s="1248">
        <f>Application!AE424</f>
        <v>1</v>
      </c>
    </row>
    <row r="46" spans="1:57" ht="12.95" customHeight="1">
      <c r="A46" s="1291" t="s">
        <v>2151</v>
      </c>
      <c r="B46" s="1291"/>
      <c r="C46" s="1291"/>
      <c r="D46" s="1291"/>
      <c r="E46" s="1291"/>
      <c r="F46" s="1291"/>
      <c r="G46" s="1291"/>
      <c r="H46" s="1291"/>
      <c r="I46" s="1291"/>
      <c r="J46" s="1291"/>
      <c r="K46" s="1291"/>
      <c r="L46" s="1291"/>
      <c r="M46" s="1291"/>
      <c r="N46" s="1291"/>
      <c r="O46" s="1291"/>
      <c r="P46" s="1291"/>
      <c r="Q46" s="1291"/>
      <c r="R46" s="1291"/>
      <c r="S46" s="1291"/>
      <c r="T46" s="1291"/>
      <c r="U46" s="1291"/>
      <c r="V46" s="1291"/>
      <c r="W46" s="1291"/>
      <c r="X46" s="1291"/>
      <c r="Y46" s="1291"/>
      <c r="Z46" s="1291"/>
      <c r="AA46" s="1291"/>
      <c r="AB46" s="1291"/>
      <c r="AC46" s="1291"/>
      <c r="AD46" s="1291"/>
      <c r="AE46" s="1291"/>
      <c r="AF46" s="1291"/>
      <c r="AG46" s="1291"/>
      <c r="AH46" s="1291"/>
      <c r="AI46" s="1291"/>
      <c r="AJ46" s="1291"/>
      <c r="AK46" s="1291"/>
      <c r="AL46" s="1291"/>
      <c r="AM46" s="1291"/>
      <c r="AN46" s="1291"/>
      <c r="AO46" s="1291"/>
      <c r="AP46" s="1291"/>
      <c r="AQ46" s="1291"/>
      <c r="AR46" s="1291"/>
      <c r="AS46" s="1291"/>
      <c r="AT46" s="1291"/>
      <c r="AU46" s="20"/>
      <c r="AV46" s="20"/>
      <c r="AW46" s="20"/>
      <c r="AX46" s="20"/>
      <c r="AY46" s="20"/>
      <c r="AZ46" s="20"/>
      <c r="BD46" s="1247" t="s">
        <v>2541</v>
      </c>
      <c r="BE46" s="1248" t="b">
        <f>Application!T195="Yes"</f>
        <v>1</v>
      </c>
    </row>
    <row r="47" spans="1:57" ht="12.95" customHeight="1">
      <c r="A47" s="1291"/>
      <c r="B47" s="1291"/>
      <c r="C47" s="1291"/>
      <c r="D47" s="1291"/>
      <c r="E47" s="1291"/>
      <c r="F47" s="1291"/>
      <c r="G47" s="1291"/>
      <c r="H47" s="1291"/>
      <c r="I47" s="1291"/>
      <c r="J47" s="1291"/>
      <c r="K47" s="1291"/>
      <c r="L47" s="1291"/>
      <c r="M47" s="1291"/>
      <c r="N47" s="1291"/>
      <c r="O47" s="1291"/>
      <c r="P47" s="1291"/>
      <c r="Q47" s="1291"/>
      <c r="R47" s="1291"/>
      <c r="S47" s="1291"/>
      <c r="T47" s="1291"/>
      <c r="U47" s="1291"/>
      <c r="V47" s="1291"/>
      <c r="W47" s="1291"/>
      <c r="X47" s="1291"/>
      <c r="Y47" s="1291"/>
      <c r="Z47" s="1291"/>
      <c r="AA47" s="1291"/>
      <c r="AB47" s="1291"/>
      <c r="AC47" s="1291"/>
      <c r="AD47" s="1291"/>
      <c r="AE47" s="1291"/>
      <c r="AF47" s="1291"/>
      <c r="AG47" s="1291"/>
      <c r="AH47" s="1291"/>
      <c r="AI47" s="1291"/>
      <c r="AJ47" s="1291"/>
      <c r="AK47" s="1291"/>
      <c r="AL47" s="1291"/>
      <c r="AM47" s="1291"/>
      <c r="AN47" s="1291"/>
      <c r="AO47" s="1291"/>
      <c r="AP47" s="1291"/>
      <c r="AQ47" s="1291"/>
      <c r="AR47" s="1291"/>
      <c r="AS47" s="1291"/>
      <c r="AT47" s="1291"/>
      <c r="AU47" s="20"/>
      <c r="AV47" s="20"/>
      <c r="AW47" s="20"/>
      <c r="AX47" s="20"/>
      <c r="AY47" s="20"/>
      <c r="AZ47" s="20"/>
      <c r="BD47" s="1246" t="s">
        <v>2542</v>
      </c>
      <c r="BE47" s="1248" t="b">
        <f>Application!T196="Yes"</f>
        <v>0</v>
      </c>
    </row>
    <row r="48" spans="1:57" ht="12.95" customHeight="1">
      <c r="A48" s="1291"/>
      <c r="B48" s="1291"/>
      <c r="C48" s="1291"/>
      <c r="D48" s="1291"/>
      <c r="E48" s="1291"/>
      <c r="F48" s="1291"/>
      <c r="G48" s="1291"/>
      <c r="H48" s="1291"/>
      <c r="I48" s="1291"/>
      <c r="J48" s="1291"/>
      <c r="K48" s="1291"/>
      <c r="L48" s="1291"/>
      <c r="M48" s="1291"/>
      <c r="N48" s="1291"/>
      <c r="O48" s="1291"/>
      <c r="P48" s="1291"/>
      <c r="Q48" s="1291"/>
      <c r="R48" s="1291"/>
      <c r="S48" s="1291"/>
      <c r="T48" s="1291"/>
      <c r="U48" s="1291"/>
      <c r="V48" s="1291"/>
      <c r="W48" s="1291"/>
      <c r="X48" s="1291"/>
      <c r="Y48" s="1291"/>
      <c r="Z48" s="1291"/>
      <c r="AA48" s="1291"/>
      <c r="AB48" s="1291"/>
      <c r="AC48" s="1291"/>
      <c r="AD48" s="1291"/>
      <c r="AE48" s="1291"/>
      <c r="AF48" s="1291"/>
      <c r="AG48" s="1291"/>
      <c r="AH48" s="1291"/>
      <c r="AI48" s="1291"/>
      <c r="AJ48" s="1291"/>
      <c r="AK48" s="1291"/>
      <c r="AL48" s="1291"/>
      <c r="AM48" s="1291"/>
      <c r="AN48" s="1291"/>
      <c r="AO48" s="1291"/>
      <c r="AP48" s="1291"/>
      <c r="AQ48" s="1291"/>
      <c r="AR48" s="1291"/>
      <c r="AS48" s="1291"/>
      <c r="AT48" s="1291"/>
      <c r="AU48" s="20"/>
      <c r="AV48" s="20"/>
      <c r="AW48" s="20"/>
      <c r="AX48" s="20"/>
      <c r="AY48" s="20"/>
      <c r="AZ48" s="20"/>
      <c r="BD48" s="1247" t="s">
        <v>2543</v>
      </c>
      <c r="BE48" s="1248" t="str">
        <f>Application!M243</f>
        <v xml:space="preserve">21010 Vanowen, LLC </v>
      </c>
    </row>
    <row r="49" spans="1:57" ht="12.95" customHeight="1">
      <c r="A49" s="1291"/>
      <c r="B49" s="1291"/>
      <c r="C49" s="1291"/>
      <c r="D49" s="1291"/>
      <c r="E49" s="1291"/>
      <c r="F49" s="1291"/>
      <c r="G49" s="1291"/>
      <c r="H49" s="1291"/>
      <c r="I49" s="1291"/>
      <c r="J49" s="1291"/>
      <c r="K49" s="1291"/>
      <c r="L49" s="1291"/>
      <c r="M49" s="1291"/>
      <c r="N49" s="1291"/>
      <c r="O49" s="1291"/>
      <c r="P49" s="1291"/>
      <c r="Q49" s="1291"/>
      <c r="R49" s="1291"/>
      <c r="S49" s="1291"/>
      <c r="T49" s="1291"/>
      <c r="U49" s="1291"/>
      <c r="V49" s="1291"/>
      <c r="W49" s="1291"/>
      <c r="X49" s="1291"/>
      <c r="Y49" s="1291"/>
      <c r="Z49" s="1291"/>
      <c r="AA49" s="1291"/>
      <c r="AB49" s="1291"/>
      <c r="AC49" s="1291"/>
      <c r="AD49" s="1291"/>
      <c r="AE49" s="1291"/>
      <c r="AF49" s="1291"/>
      <c r="AG49" s="1291"/>
      <c r="AH49" s="1291"/>
      <c r="AI49" s="1291"/>
      <c r="AJ49" s="1291"/>
      <c r="AK49" s="1291"/>
      <c r="AL49" s="1291"/>
      <c r="AM49" s="1291"/>
      <c r="AN49" s="1291"/>
      <c r="AO49" s="1291"/>
      <c r="AP49" s="1291"/>
      <c r="AQ49" s="1291"/>
      <c r="AR49" s="1291"/>
      <c r="AS49" s="1291"/>
      <c r="AT49" s="1291"/>
      <c r="AU49" s="20"/>
      <c r="AV49" s="20"/>
      <c r="AW49" s="20"/>
      <c r="AX49" s="20"/>
      <c r="AY49" s="20"/>
      <c r="AZ49" s="20"/>
      <c r="BD49" s="1246" t="s">
        <v>2544</v>
      </c>
      <c r="BE49" s="1248" t="str">
        <f>Application!M246</f>
        <v>Taylor Rasmussen</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7" t="s">
        <v>2545</v>
      </c>
      <c r="BE50" s="1248" t="str">
        <f>Application!AA249</f>
        <v>Meta Development, LLC</v>
      </c>
    </row>
    <row r="51" spans="1:57" ht="12.95" customHeight="1">
      <c r="A51" s="1261" t="s">
        <v>2152</v>
      </c>
      <c r="B51" s="1261"/>
      <c r="C51" s="1261"/>
      <c r="D51" s="1261"/>
      <c r="E51" s="1261"/>
      <c r="F51" s="1261"/>
      <c r="G51" s="1261"/>
      <c r="H51" s="1261"/>
      <c r="I51" s="1261"/>
      <c r="J51" s="1261"/>
      <c r="K51" s="1261"/>
      <c r="L51" s="1261"/>
      <c r="M51" s="1261"/>
      <c r="N51" s="1261"/>
      <c r="O51" s="1261"/>
      <c r="P51" s="1261"/>
      <c r="Q51" s="1261"/>
      <c r="R51" s="1261"/>
      <c r="S51" s="1261"/>
      <c r="T51" s="1261"/>
      <c r="U51" s="1261"/>
      <c r="V51" s="1261"/>
      <c r="W51" s="1261"/>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61"/>
      <c r="AS51" s="1261"/>
      <c r="AT51" s="1261"/>
      <c r="AU51" s="20"/>
      <c r="AV51" s="20"/>
      <c r="AW51" s="20"/>
      <c r="AX51" s="20"/>
      <c r="AY51" s="20"/>
      <c r="AZ51" s="20"/>
      <c r="BD51" s="1246" t="s">
        <v>2546</v>
      </c>
      <c r="BE51" s="1248" t="str">
        <f>Application!M251</f>
        <v>FFAH II Vanowen St. Apts CA, LLC</v>
      </c>
    </row>
    <row r="52" spans="1:57" ht="12.95" customHeight="1">
      <c r="A52" s="1261"/>
      <c r="B52" s="1261"/>
      <c r="C52" s="1261"/>
      <c r="D52" s="1261"/>
      <c r="E52" s="1261"/>
      <c r="F52" s="1261"/>
      <c r="G52" s="1261"/>
      <c r="H52" s="1261"/>
      <c r="I52" s="1261"/>
      <c r="J52" s="1261"/>
      <c r="K52" s="1261"/>
      <c r="L52" s="1261"/>
      <c r="M52" s="1261"/>
      <c r="N52" s="1261"/>
      <c r="O52" s="1261"/>
      <c r="P52" s="1261"/>
      <c r="Q52" s="1261"/>
      <c r="R52" s="1261"/>
      <c r="S52" s="1261"/>
      <c r="T52" s="1261"/>
      <c r="U52" s="1261"/>
      <c r="V52" s="1261"/>
      <c r="W52" s="1261"/>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261"/>
      <c r="AS52" s="1261"/>
      <c r="AT52" s="1261"/>
      <c r="AU52" s="20"/>
      <c r="AV52" s="20"/>
      <c r="AW52" s="20"/>
      <c r="AX52" s="20"/>
      <c r="AY52" s="20"/>
      <c r="AZ52" s="20"/>
      <c r="BD52" s="1247" t="s">
        <v>2547</v>
      </c>
      <c r="BE52" s="1248" t="str">
        <f>Application!M254</f>
        <v xml:space="preserve">Tarun Chandran </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6" t="s">
        <v>2548</v>
      </c>
      <c r="BE53" s="1248" t="str">
        <f>Application!AA257</f>
        <v>Foundation For Affordable Housing II, Inc.</v>
      </c>
    </row>
    <row r="54" spans="1:57" ht="12.95" customHeight="1">
      <c r="A54" s="1261" t="s">
        <v>2153</v>
      </c>
      <c r="B54" s="1261"/>
      <c r="C54" s="1261"/>
      <c r="D54" s="1261"/>
      <c r="E54" s="1261"/>
      <c r="F54" s="1261"/>
      <c r="G54" s="1261"/>
      <c r="H54" s="1261"/>
      <c r="I54" s="1261"/>
      <c r="J54" s="1261"/>
      <c r="K54" s="1261"/>
      <c r="L54" s="1261"/>
      <c r="M54" s="1261"/>
      <c r="N54" s="1261"/>
      <c r="O54" s="1261"/>
      <c r="P54" s="1261"/>
      <c r="Q54" s="1261"/>
      <c r="R54" s="1261"/>
      <c r="S54" s="1261"/>
      <c r="T54" s="1261"/>
      <c r="U54" s="1261"/>
      <c r="V54" s="1261"/>
      <c r="W54" s="1261"/>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261"/>
      <c r="AS54" s="1261"/>
      <c r="AT54" s="1261"/>
      <c r="AU54" s="20"/>
      <c r="AV54" s="20"/>
      <c r="AW54" s="20"/>
      <c r="AX54" s="20"/>
      <c r="AY54" s="20"/>
      <c r="AZ54" s="21"/>
      <c r="BD54" s="1247" t="s">
        <v>2549</v>
      </c>
      <c r="BE54" s="1248">
        <f>Application!M259</f>
        <v>0</v>
      </c>
    </row>
    <row r="55" spans="1:57" ht="12.95" customHeight="1">
      <c r="A55" s="1261"/>
      <c r="B55" s="1261"/>
      <c r="C55" s="1261"/>
      <c r="D55" s="1261"/>
      <c r="E55" s="1261"/>
      <c r="F55" s="1261"/>
      <c r="G55" s="1261"/>
      <c r="H55" s="1261"/>
      <c r="I55" s="1261"/>
      <c r="J55" s="1261"/>
      <c r="K55" s="1261"/>
      <c r="L55" s="1261"/>
      <c r="M55" s="1261"/>
      <c r="N55" s="1261"/>
      <c r="O55" s="1261"/>
      <c r="P55" s="1261"/>
      <c r="Q55" s="1261"/>
      <c r="R55" s="1261"/>
      <c r="S55" s="1261"/>
      <c r="T55" s="1261"/>
      <c r="U55" s="1261"/>
      <c r="V55" s="1261"/>
      <c r="W55" s="1261"/>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261"/>
      <c r="AS55" s="1261"/>
      <c r="AT55" s="1261"/>
      <c r="AZ55" s="21"/>
      <c r="BD55" s="1246" t="s">
        <v>2550</v>
      </c>
      <c r="BE55" s="1248">
        <f>Application!M262</f>
        <v>0</v>
      </c>
    </row>
    <row r="56" spans="1:57" ht="12.95" customHeight="1">
      <c r="A56" s="1261"/>
      <c r="B56" s="1261"/>
      <c r="C56" s="1261"/>
      <c r="D56" s="1261"/>
      <c r="E56" s="1261"/>
      <c r="F56" s="1261"/>
      <c r="G56" s="1261"/>
      <c r="H56" s="1261"/>
      <c r="I56" s="1261"/>
      <c r="J56" s="1261"/>
      <c r="K56" s="1261"/>
      <c r="L56" s="1261"/>
      <c r="M56" s="1261"/>
      <c r="N56" s="1261"/>
      <c r="O56" s="1261"/>
      <c r="P56" s="1261"/>
      <c r="Q56" s="1261"/>
      <c r="R56" s="1261"/>
      <c r="S56" s="1261"/>
      <c r="T56" s="1261"/>
      <c r="U56" s="1261"/>
      <c r="V56" s="1261"/>
      <c r="W56" s="1261"/>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261"/>
      <c r="AS56" s="1261"/>
      <c r="AT56" s="1261"/>
      <c r="BD56" s="1247" t="s">
        <v>2551</v>
      </c>
      <c r="BE56" s="1248">
        <f>Application!AA265</f>
        <v>0</v>
      </c>
    </row>
    <row r="57" spans="1:57" ht="12.95" customHeight="1">
      <c r="A57" s="1261"/>
      <c r="B57" s="1261"/>
      <c r="C57" s="1261"/>
      <c r="D57" s="1261"/>
      <c r="E57" s="1261"/>
      <c r="F57" s="1261"/>
      <c r="G57" s="1261"/>
      <c r="H57" s="1261"/>
      <c r="I57" s="1261"/>
      <c r="J57" s="1261"/>
      <c r="K57" s="1261"/>
      <c r="L57" s="1261"/>
      <c r="M57" s="1261"/>
      <c r="N57" s="1261"/>
      <c r="O57" s="1261"/>
      <c r="P57" s="1261"/>
      <c r="Q57" s="1261"/>
      <c r="R57" s="1261"/>
      <c r="S57" s="1261"/>
      <c r="T57" s="1261"/>
      <c r="U57" s="1261"/>
      <c r="V57" s="1261"/>
      <c r="W57" s="1261"/>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261"/>
      <c r="AS57" s="1261"/>
      <c r="AT57" s="1261"/>
      <c r="BD57" s="1246" t="s">
        <v>2552</v>
      </c>
      <c r="BE57" s="1248" t="str">
        <f>Application!H287</f>
        <v xml:space="preserve">Meta Development, LLC </v>
      </c>
    </row>
    <row r="58" spans="1:57" ht="12.95" customHeight="1">
      <c r="A58" s="1261"/>
      <c r="B58" s="1261"/>
      <c r="C58" s="1261"/>
      <c r="D58" s="1261"/>
      <c r="E58" s="1261"/>
      <c r="F58" s="1261"/>
      <c r="G58" s="1261"/>
      <c r="H58" s="1261"/>
      <c r="I58" s="1261"/>
      <c r="J58" s="1261"/>
      <c r="K58" s="1261"/>
      <c r="L58" s="1261"/>
      <c r="M58" s="1261"/>
      <c r="N58" s="1261"/>
      <c r="O58" s="1261"/>
      <c r="P58" s="1261"/>
      <c r="Q58" s="1261"/>
      <c r="R58" s="1261"/>
      <c r="S58" s="1261"/>
      <c r="T58" s="1261"/>
      <c r="U58" s="1261"/>
      <c r="V58" s="1261"/>
      <c r="W58" s="1261"/>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261"/>
      <c r="AS58" s="1261"/>
      <c r="AT58" s="1261"/>
      <c r="BD58" s="1247" t="s">
        <v>2553</v>
      </c>
      <c r="BE58" s="1248" t="str">
        <f>Application!H288</f>
        <v>11150 W Olympic Blvd, Suite 620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6" t="s">
        <v>2554</v>
      </c>
      <c r="BE59" s="1248" t="str">
        <f>Application!H289</f>
        <v>Los Angeles, CA 90064</v>
      </c>
    </row>
    <row r="60" spans="1:57" ht="12.95" customHeight="1">
      <c r="A60" s="1261" t="s">
        <v>2154</v>
      </c>
      <c r="B60" s="1261"/>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1"/>
      <c r="Z60" s="1261"/>
      <c r="AA60" s="1261"/>
      <c r="AB60" s="1261"/>
      <c r="AC60" s="1261"/>
      <c r="AD60" s="1261"/>
      <c r="AE60" s="1261"/>
      <c r="AF60" s="1261"/>
      <c r="AG60" s="1261"/>
      <c r="AH60" s="1261"/>
      <c r="AI60" s="1261"/>
      <c r="AJ60" s="1261"/>
      <c r="AK60" s="1261"/>
      <c r="AL60" s="1261"/>
      <c r="AM60" s="1261"/>
      <c r="AN60" s="1261"/>
      <c r="AO60" s="1261"/>
      <c r="AP60" s="1261"/>
      <c r="AQ60" s="1261"/>
      <c r="AR60" s="1261"/>
      <c r="AS60" s="1261"/>
      <c r="AT60" s="1261"/>
      <c r="AU60" s="20"/>
      <c r="AV60" s="20"/>
      <c r="AW60" s="20"/>
      <c r="AX60" s="20"/>
      <c r="AY60" s="20"/>
      <c r="AZ60" s="20"/>
      <c r="BD60" s="1247" t="s">
        <v>2555</v>
      </c>
      <c r="BE60" s="1248" t="str">
        <f>Application!H290</f>
        <v xml:space="preserve">Chris Maffris </v>
      </c>
    </row>
    <row r="61" spans="1:57" ht="12.95" customHeight="1">
      <c r="A61" s="1261"/>
      <c r="B61" s="1261"/>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1"/>
      <c r="AT61" s="1261"/>
      <c r="AU61" s="20"/>
      <c r="AV61" s="20"/>
      <c r="AW61" s="20"/>
      <c r="AX61" s="20"/>
      <c r="AY61" s="20"/>
      <c r="AZ61" s="20"/>
      <c r="BD61" s="1246" t="s">
        <v>2556</v>
      </c>
      <c r="BE61" s="1248" t="str">
        <f>Application!H293</f>
        <v>cmaffris@metahousing.com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7" t="s">
        <v>2557</v>
      </c>
      <c r="BE62" s="1251">
        <f>'Basis &amp; Credits'!AB50</f>
        <v>0.86991300000000005</v>
      </c>
    </row>
    <row r="63" spans="1:57" ht="12.95"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6" t="s">
        <v>1249</v>
      </c>
      <c r="BE63" s="1251">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7" t="s">
        <v>2558</v>
      </c>
      <c r="BE64" s="1248" t="str">
        <f>Application!X180</f>
        <v>No</v>
      </c>
    </row>
    <row r="65" spans="1:57" ht="12.95" customHeight="1">
      <c r="A65" s="1417" t="s">
        <v>2156</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46" t="s">
        <v>2594</v>
      </c>
      <c r="BE65" s="1248" t="str">
        <f>Z205</f>
        <v>(select)</v>
      </c>
    </row>
    <row r="66" spans="1:57" ht="12.95"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47" t="s">
        <v>2559</v>
      </c>
      <c r="BE66" s="1248" t="b">
        <f>Application!Z205="State Farmworker Credit"</f>
        <v>0</v>
      </c>
    </row>
    <row r="67" spans="1:57" ht="12.95"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46" t="s">
        <v>2560</v>
      </c>
      <c r="BE67" s="1248"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7" t="s">
        <v>2561</v>
      </c>
      <c r="BE68" s="1248">
        <f>'Sources and Uses Budget'!D105</f>
        <v>0</v>
      </c>
    </row>
    <row r="69" spans="1:57" ht="12.95" customHeight="1">
      <c r="A69" s="1417" t="s">
        <v>2157</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46" t="s">
        <v>2562</v>
      </c>
      <c r="BE69" s="1248" t="str">
        <f>Application!W700</f>
        <v>California Municipal Finance Authority</v>
      </c>
    </row>
    <row r="70" spans="1:57" ht="12.95"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47" t="s">
        <v>2563</v>
      </c>
      <c r="BE70" s="1248">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6" t="s">
        <v>2564</v>
      </c>
      <c r="BE71" s="1248">
        <f>'Points System'!AF804</f>
        <v>0</v>
      </c>
    </row>
    <row r="72" spans="1:57" ht="12.95" customHeight="1">
      <c r="A72" s="1415" t="s">
        <v>2158</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47" t="s">
        <v>2565</v>
      </c>
      <c r="BE72" s="1248">
        <f>'Points System'!AF805</f>
        <v>10</v>
      </c>
    </row>
    <row r="73" spans="1:57" ht="12.95"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46" t="s">
        <v>2566</v>
      </c>
      <c r="BE73" s="1248">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7" t="s">
        <v>2567</v>
      </c>
      <c r="BE74" s="1248">
        <f>'Points System'!AF807</f>
        <v>10</v>
      </c>
    </row>
    <row r="75" spans="1:57" ht="12.95" customHeight="1">
      <c r="A75" s="1807" t="s">
        <v>2159</v>
      </c>
      <c r="B75" s="1807"/>
      <c r="C75" s="1807"/>
      <c r="D75" s="1807"/>
      <c r="E75" s="1807"/>
      <c r="F75" s="1807"/>
      <c r="G75" s="1807"/>
      <c r="H75" s="1807"/>
      <c r="I75" s="1807"/>
      <c r="J75" s="1807"/>
      <c r="K75" s="1807"/>
      <c r="L75" s="1807"/>
      <c r="M75" s="1807"/>
      <c r="N75" s="1807"/>
      <c r="O75" s="1807"/>
      <c r="P75" s="1807"/>
      <c r="Q75" s="1807"/>
      <c r="R75" s="1807"/>
      <c r="S75" s="1807"/>
      <c r="T75" s="1807"/>
      <c r="U75" s="1807"/>
      <c r="V75" s="1807"/>
      <c r="W75" s="1807"/>
      <c r="X75" s="1807"/>
      <c r="Y75" s="1807"/>
      <c r="Z75" s="1807"/>
      <c r="AA75" s="1807"/>
      <c r="AB75" s="1807"/>
      <c r="AC75" s="1807"/>
      <c r="AD75" s="1807"/>
      <c r="AE75" s="1807"/>
      <c r="AF75" s="1807"/>
      <c r="AG75" s="1807"/>
      <c r="AH75" s="1807"/>
      <c r="AI75" s="1807"/>
      <c r="AJ75" s="1807"/>
      <c r="AK75" s="1807"/>
      <c r="AL75" s="1807"/>
      <c r="AM75" s="1807"/>
      <c r="AN75" s="1807"/>
      <c r="AO75" s="1807"/>
      <c r="AP75" s="1807"/>
      <c r="AQ75" s="1807"/>
      <c r="AR75" s="1807"/>
      <c r="AS75" s="1807"/>
      <c r="AT75" s="1807"/>
      <c r="AU75" s="20"/>
      <c r="AV75" s="20"/>
      <c r="AW75" s="20"/>
      <c r="AX75" s="20"/>
      <c r="AY75" s="20"/>
      <c r="AZ75" s="20"/>
      <c r="BD75" s="1246" t="s">
        <v>2568</v>
      </c>
      <c r="BE75" s="1248">
        <f>'Points System'!AF808</f>
        <v>10</v>
      </c>
    </row>
    <row r="76" spans="1:57" ht="12.95" customHeight="1">
      <c r="A76" s="1807"/>
      <c r="B76" s="1807"/>
      <c r="C76" s="1807"/>
      <c r="D76" s="1807"/>
      <c r="E76" s="1807"/>
      <c r="F76" s="1807"/>
      <c r="G76" s="1807"/>
      <c r="H76" s="1807"/>
      <c r="I76" s="1807"/>
      <c r="J76" s="1807"/>
      <c r="K76" s="1807"/>
      <c r="L76" s="1807"/>
      <c r="M76" s="1807"/>
      <c r="N76" s="1807"/>
      <c r="O76" s="1807"/>
      <c r="P76" s="1807"/>
      <c r="Q76" s="1807"/>
      <c r="R76" s="1807"/>
      <c r="S76" s="1807"/>
      <c r="T76" s="1807"/>
      <c r="U76" s="1807"/>
      <c r="V76" s="1807"/>
      <c r="W76" s="1807"/>
      <c r="X76" s="1807"/>
      <c r="Y76" s="1807"/>
      <c r="Z76" s="1807"/>
      <c r="AA76" s="1807"/>
      <c r="AB76" s="1807"/>
      <c r="AC76" s="1807"/>
      <c r="AD76" s="1807"/>
      <c r="AE76" s="1807"/>
      <c r="AF76" s="1807"/>
      <c r="AG76" s="1807"/>
      <c r="AH76" s="1807"/>
      <c r="AI76" s="1807"/>
      <c r="AJ76" s="1807"/>
      <c r="AK76" s="1807"/>
      <c r="AL76" s="1807"/>
      <c r="AM76" s="1807"/>
      <c r="AN76" s="1807"/>
      <c r="AO76" s="1807"/>
      <c r="AP76" s="1807"/>
      <c r="AQ76" s="1807"/>
      <c r="AR76" s="1807"/>
      <c r="AS76" s="1807"/>
      <c r="AT76" s="1807"/>
      <c r="AU76" s="20"/>
      <c r="AV76" s="20"/>
      <c r="AW76" s="20"/>
      <c r="AX76" s="20"/>
      <c r="AY76" s="20"/>
      <c r="AZ76" s="17"/>
      <c r="BD76" s="1247" t="s">
        <v>2569</v>
      </c>
      <c r="BE76" s="1248">
        <f>'Points System'!AF811</f>
        <v>10</v>
      </c>
    </row>
    <row r="77" spans="1:57" ht="12.95" customHeight="1">
      <c r="A77" s="1807"/>
      <c r="B77" s="1807"/>
      <c r="C77" s="1807"/>
      <c r="D77" s="1807"/>
      <c r="E77" s="1807"/>
      <c r="F77" s="1807"/>
      <c r="G77" s="1807"/>
      <c r="H77" s="1807"/>
      <c r="I77" s="1807"/>
      <c r="J77" s="1807"/>
      <c r="K77" s="1807"/>
      <c r="L77" s="1807"/>
      <c r="M77" s="1807"/>
      <c r="N77" s="1807"/>
      <c r="O77" s="1807"/>
      <c r="P77" s="1807"/>
      <c r="Q77" s="1807"/>
      <c r="R77" s="1807"/>
      <c r="S77" s="1807"/>
      <c r="T77" s="1807"/>
      <c r="U77" s="1807"/>
      <c r="V77" s="1807"/>
      <c r="W77" s="1807"/>
      <c r="X77" s="1807"/>
      <c r="Y77" s="1807"/>
      <c r="Z77" s="1807"/>
      <c r="AA77" s="1807"/>
      <c r="AB77" s="1807"/>
      <c r="AC77" s="1807"/>
      <c r="AD77" s="1807"/>
      <c r="AE77" s="1807"/>
      <c r="AF77" s="1807"/>
      <c r="AG77" s="1807"/>
      <c r="AH77" s="1807"/>
      <c r="AI77" s="1807"/>
      <c r="AJ77" s="1807"/>
      <c r="AK77" s="1807"/>
      <c r="AL77" s="1807"/>
      <c r="AM77" s="1807"/>
      <c r="AN77" s="1807"/>
      <c r="AO77" s="1807"/>
      <c r="AP77" s="1807"/>
      <c r="AQ77" s="1807"/>
      <c r="AR77" s="1807"/>
      <c r="AS77" s="1807"/>
      <c r="AT77" s="1807"/>
      <c r="AU77" s="20"/>
      <c r="AV77" s="20"/>
      <c r="AW77" s="20"/>
      <c r="AX77" s="20"/>
      <c r="AY77" s="20"/>
      <c r="AZ77" s="17"/>
      <c r="BD77" s="1246" t="s">
        <v>2570</v>
      </c>
      <c r="BE77" s="1248">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7" t="s">
        <v>2571</v>
      </c>
      <c r="BE78" s="1248">
        <f>'Points System'!AF814</f>
        <v>10</v>
      </c>
    </row>
    <row r="79" spans="1:57" ht="12.95" customHeight="1">
      <c r="A79" s="1417" t="s">
        <v>2160</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46" t="s">
        <v>2572</v>
      </c>
      <c r="BE79" s="1248">
        <f>'Points System'!AF815</f>
        <v>9</v>
      </c>
    </row>
    <row r="80" spans="1:57" ht="12.95"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47" t="s">
        <v>2573</v>
      </c>
      <c r="BE80" s="1248">
        <f>'Points System'!AF817</f>
        <v>10</v>
      </c>
    </row>
    <row r="81" spans="1:57" ht="12.95"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46" t="s">
        <v>2574</v>
      </c>
      <c r="BE81" s="1248">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7" t="s">
        <v>2575</v>
      </c>
      <c r="BE82" s="1248">
        <f>'Points System'!AF819</f>
        <v>10</v>
      </c>
    </row>
    <row r="83" spans="1:57" ht="12.95" customHeight="1">
      <c r="A83" s="1261" t="s">
        <v>2161</v>
      </c>
      <c r="B83" s="1261"/>
      <c r="C83" s="1261"/>
      <c r="D83" s="1261"/>
      <c r="E83" s="1261"/>
      <c r="F83" s="1261"/>
      <c r="G83" s="1261"/>
      <c r="H83" s="1261"/>
      <c r="I83" s="1261"/>
      <c r="J83" s="1261"/>
      <c r="K83" s="1261"/>
      <c r="L83" s="1261"/>
      <c r="M83" s="1261"/>
      <c r="N83" s="1261"/>
      <c r="O83" s="1261"/>
      <c r="P83" s="1261"/>
      <c r="Q83" s="1261"/>
      <c r="R83" s="1261"/>
      <c r="S83" s="1261"/>
      <c r="T83" s="1261"/>
      <c r="U83" s="1261"/>
      <c r="V83" s="1261"/>
      <c r="W83" s="1261"/>
      <c r="X83" s="1261"/>
      <c r="Y83" s="1261"/>
      <c r="Z83" s="1261"/>
      <c r="AA83" s="1261"/>
      <c r="AB83" s="1261"/>
      <c r="AC83" s="1261"/>
      <c r="AD83" s="1261"/>
      <c r="AE83" s="1261"/>
      <c r="AF83" s="1261"/>
      <c r="AG83" s="1261"/>
      <c r="AH83" s="1261"/>
      <c r="AI83" s="1261"/>
      <c r="AJ83" s="1261"/>
      <c r="AK83" s="1261"/>
      <c r="AL83" s="1261"/>
      <c r="AM83" s="1261"/>
      <c r="AN83" s="1261"/>
      <c r="AO83" s="1261"/>
      <c r="AP83" s="1261"/>
      <c r="AQ83" s="1261"/>
      <c r="AR83" s="1261"/>
      <c r="AS83" s="1261"/>
      <c r="AT83" s="1261"/>
      <c r="AU83" s="20"/>
      <c r="AV83" s="20"/>
      <c r="AW83" s="20"/>
      <c r="AX83" s="20"/>
      <c r="AY83" s="20"/>
      <c r="AZ83" s="20"/>
      <c r="BD83" s="1246" t="s">
        <v>2576</v>
      </c>
      <c r="BE83" s="1252">
        <f>'Tie Breaker'!H5</f>
        <v>1.6344501939602651</v>
      </c>
    </row>
    <row r="84" spans="1:57" ht="12.95" customHeight="1">
      <c r="A84" s="1261"/>
      <c r="B84" s="1261"/>
      <c r="C84" s="1261"/>
      <c r="D84" s="1261"/>
      <c r="E84" s="1261"/>
      <c r="F84" s="1261"/>
      <c r="G84" s="1261"/>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c r="AL84" s="1261"/>
      <c r="AM84" s="1261"/>
      <c r="AN84" s="1261"/>
      <c r="AO84" s="1261"/>
      <c r="AP84" s="1261"/>
      <c r="AQ84" s="1261"/>
      <c r="AR84" s="1261"/>
      <c r="AS84" s="1261"/>
      <c r="AT84" s="1261"/>
      <c r="AU84" s="20"/>
      <c r="AV84" s="20"/>
      <c r="AW84" s="20"/>
      <c r="AX84" s="20"/>
      <c r="AY84" s="20"/>
      <c r="AZ84" s="20"/>
      <c r="BD84" s="1247" t="s">
        <v>2577</v>
      </c>
      <c r="BE84" s="1248" t="str">
        <f>Application!O153</f>
        <v xml:space="preserve">City of Los Angeles </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6" t="s">
        <v>2578</v>
      </c>
      <c r="BE85" s="1248" t="str">
        <f>Application!O154</f>
        <v>Timothy Elliott</v>
      </c>
    </row>
    <row r="86" spans="1:57" ht="12.95" customHeight="1">
      <c r="A86" s="1261" t="s">
        <v>2162</v>
      </c>
      <c r="B86" s="1261"/>
      <c r="C86" s="1261"/>
      <c r="D86" s="1261"/>
      <c r="E86" s="1261"/>
      <c r="F86" s="1261"/>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261"/>
      <c r="AS86" s="1261"/>
      <c r="AT86" s="1261"/>
      <c r="AU86" s="20"/>
      <c r="AV86" s="20"/>
      <c r="AW86" s="20"/>
      <c r="AX86" s="20"/>
      <c r="AY86" s="20"/>
      <c r="AZ86" s="20"/>
      <c r="BD86" s="1247" t="s">
        <v>2579</v>
      </c>
      <c r="BE86" s="1248" t="str">
        <f>Application!O155</f>
        <v>Community Housing Program Manager
Manager</v>
      </c>
    </row>
    <row r="87" spans="1:57" ht="12.95" customHeight="1">
      <c r="A87" s="1261"/>
      <c r="B87" s="1261"/>
      <c r="C87" s="1261"/>
      <c r="D87" s="1261"/>
      <c r="E87" s="1261"/>
      <c r="F87" s="1261"/>
      <c r="G87" s="1261"/>
      <c r="H87" s="1261"/>
      <c r="I87" s="1261"/>
      <c r="J87" s="1261"/>
      <c r="K87" s="1261"/>
      <c r="L87" s="1261"/>
      <c r="M87" s="1261"/>
      <c r="N87" s="1261"/>
      <c r="O87" s="1261"/>
      <c r="P87" s="1261"/>
      <c r="Q87" s="1261"/>
      <c r="R87" s="1261"/>
      <c r="S87" s="1261"/>
      <c r="T87" s="1261"/>
      <c r="U87" s="1261"/>
      <c r="V87" s="1261"/>
      <c r="W87" s="1261"/>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261"/>
      <c r="AS87" s="1261"/>
      <c r="AT87" s="1261"/>
      <c r="AU87" s="20"/>
      <c r="AV87" s="20"/>
      <c r="AW87" s="20"/>
      <c r="AX87" s="20"/>
      <c r="AY87" s="20"/>
      <c r="AZ87" s="20"/>
      <c r="BD87" s="1246" t="s">
        <v>2580</v>
      </c>
      <c r="BE87" s="1248" t="str">
        <f>Application!O156</f>
        <v>1200 W. 7th Street, 8th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7" t="s">
        <v>2581</v>
      </c>
      <c r="BE88" s="1248" t="str">
        <f>Application!O157</f>
        <v>Los Angeles</v>
      </c>
    </row>
    <row r="89" spans="1:57" ht="12.95" customHeight="1">
      <c r="A89" s="1806" t="s">
        <v>2163</v>
      </c>
      <c r="B89" s="1806"/>
      <c r="C89" s="1806"/>
      <c r="D89" s="1806"/>
      <c r="E89" s="1806"/>
      <c r="F89" s="1806"/>
      <c r="G89" s="1806"/>
      <c r="H89" s="1806"/>
      <c r="I89" s="1806"/>
      <c r="J89" s="1806"/>
      <c r="K89" s="1806"/>
      <c r="L89" s="1806"/>
      <c r="M89" s="1806"/>
      <c r="N89" s="1806"/>
      <c r="O89" s="1806"/>
      <c r="P89" s="1806"/>
      <c r="Q89" s="1806"/>
      <c r="R89" s="1806"/>
      <c r="S89" s="1806"/>
      <c r="T89" s="1806"/>
      <c r="U89" s="1806"/>
      <c r="V89" s="1806"/>
      <c r="W89" s="1806"/>
      <c r="X89" s="1806"/>
      <c r="Y89" s="1806"/>
      <c r="Z89" s="1806"/>
      <c r="AA89" s="1806"/>
      <c r="AB89" s="1806"/>
      <c r="AC89" s="1806"/>
      <c r="AD89" s="1806"/>
      <c r="AE89" s="1806"/>
      <c r="AF89" s="1806"/>
      <c r="AG89" s="1806"/>
      <c r="AH89" s="1806"/>
      <c r="AI89" s="1806"/>
      <c r="AJ89" s="1806"/>
      <c r="AK89" s="1806"/>
      <c r="AL89" s="1806"/>
      <c r="AM89" s="1806"/>
      <c r="AN89" s="1806"/>
      <c r="AO89" s="1806"/>
      <c r="AP89" s="1806"/>
      <c r="AQ89" s="1806"/>
      <c r="AR89" s="1806"/>
      <c r="AS89" s="1806"/>
      <c r="AT89" s="1806"/>
      <c r="AU89" s="17"/>
      <c r="AV89" s="17"/>
      <c r="AW89" s="17"/>
      <c r="AX89" s="17"/>
      <c r="AY89" s="17"/>
      <c r="AZ89" s="20"/>
      <c r="BD89" s="1246" t="s">
        <v>2582</v>
      </c>
      <c r="BE89" s="1248">
        <f>Application!O158</f>
        <v>90017</v>
      </c>
    </row>
    <row r="90" spans="1:57" ht="12.95" customHeight="1">
      <c r="A90" s="1806"/>
      <c r="B90" s="1806"/>
      <c r="C90" s="1806"/>
      <c r="D90" s="1806"/>
      <c r="E90" s="1806"/>
      <c r="F90" s="1806"/>
      <c r="G90" s="1806"/>
      <c r="H90" s="1806"/>
      <c r="I90" s="1806"/>
      <c r="J90" s="1806"/>
      <c r="K90" s="1806"/>
      <c r="L90" s="1806"/>
      <c r="M90" s="1806"/>
      <c r="N90" s="1806"/>
      <c r="O90" s="1806"/>
      <c r="P90" s="1806"/>
      <c r="Q90" s="1806"/>
      <c r="R90" s="1806"/>
      <c r="S90" s="1806"/>
      <c r="T90" s="1806"/>
      <c r="U90" s="1806"/>
      <c r="V90" s="1806"/>
      <c r="W90" s="1806"/>
      <c r="X90" s="1806"/>
      <c r="Y90" s="1806"/>
      <c r="Z90" s="1806"/>
      <c r="AA90" s="1806"/>
      <c r="AB90" s="1806"/>
      <c r="AC90" s="1806"/>
      <c r="AD90" s="1806"/>
      <c r="AE90" s="1806"/>
      <c r="AF90" s="1806"/>
      <c r="AG90" s="1806"/>
      <c r="AH90" s="1806"/>
      <c r="AI90" s="1806"/>
      <c r="AJ90" s="1806"/>
      <c r="AK90" s="1806"/>
      <c r="AL90" s="1806"/>
      <c r="AM90" s="1806"/>
      <c r="AN90" s="1806"/>
      <c r="AO90" s="1806"/>
      <c r="AP90" s="1806"/>
      <c r="AQ90" s="1806"/>
      <c r="AR90" s="1806"/>
      <c r="AS90" s="1806"/>
      <c r="AT90" s="1806"/>
      <c r="AU90" s="17"/>
      <c r="AV90" s="17"/>
      <c r="AW90" s="17"/>
      <c r="AX90" s="17"/>
      <c r="AY90" s="17"/>
      <c r="AZ90" s="20"/>
      <c r="BD90" s="1247" t="s">
        <v>2583</v>
      </c>
      <c r="BE90" s="1248" t="str">
        <f>Application!H16</f>
        <v>21010 Vanowen,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6" t="s">
        <v>2584</v>
      </c>
      <c r="BE91" s="1248" t="str">
        <f>Application!M233</f>
        <v>11150 W Olympic Blvd, Suite 620</v>
      </c>
    </row>
    <row r="92" spans="1:57" ht="12.95" customHeight="1">
      <c r="A92" s="1807" t="s">
        <v>2164</v>
      </c>
      <c r="B92" s="1807"/>
      <c r="C92" s="1807"/>
      <c r="D92" s="1807"/>
      <c r="E92" s="1807"/>
      <c r="F92" s="1807"/>
      <c r="G92" s="1807"/>
      <c r="H92" s="1807"/>
      <c r="I92" s="1807"/>
      <c r="J92" s="1807"/>
      <c r="K92" s="1807"/>
      <c r="L92" s="1807"/>
      <c r="M92" s="1807"/>
      <c r="N92" s="1807"/>
      <c r="O92" s="1807"/>
      <c r="P92" s="1807"/>
      <c r="Q92" s="1807"/>
      <c r="R92" s="1807"/>
      <c r="S92" s="1807"/>
      <c r="T92" s="1807"/>
      <c r="U92" s="1807"/>
      <c r="V92" s="1807"/>
      <c r="W92" s="1807"/>
      <c r="X92" s="1807"/>
      <c r="Y92" s="1807"/>
      <c r="Z92" s="1807"/>
      <c r="AA92" s="1807"/>
      <c r="AB92" s="1807"/>
      <c r="AC92" s="1807"/>
      <c r="AD92" s="1807"/>
      <c r="AE92" s="1807"/>
      <c r="AF92" s="1807"/>
      <c r="AG92" s="1807"/>
      <c r="AH92" s="1807"/>
      <c r="AI92" s="1807"/>
      <c r="AJ92" s="1807"/>
      <c r="AK92" s="1807"/>
      <c r="AL92" s="1807"/>
      <c r="AM92" s="1807"/>
      <c r="AN92" s="1807"/>
      <c r="AO92" s="1807"/>
      <c r="AP92" s="1807"/>
      <c r="AQ92" s="1807"/>
      <c r="AR92" s="1807"/>
      <c r="AS92" s="1807"/>
      <c r="AT92" s="1807"/>
      <c r="AU92" s="20"/>
      <c r="AV92" s="20"/>
      <c r="AW92" s="20"/>
      <c r="AX92" s="20"/>
      <c r="AY92" s="20"/>
      <c r="AZ92" s="20"/>
      <c r="BD92" s="1247" t="s">
        <v>2585</v>
      </c>
      <c r="BE92" s="1248" t="str">
        <f>Application!M234</f>
        <v>Los Angeles</v>
      </c>
    </row>
    <row r="93" spans="1:57" ht="12.95" customHeight="1">
      <c r="A93" s="1807"/>
      <c r="B93" s="1807"/>
      <c r="C93" s="1807"/>
      <c r="D93" s="1807"/>
      <c r="E93" s="1807"/>
      <c r="F93" s="1807"/>
      <c r="G93" s="1807"/>
      <c r="H93" s="1807"/>
      <c r="I93" s="1807"/>
      <c r="J93" s="1807"/>
      <c r="K93" s="1807"/>
      <c r="L93" s="1807"/>
      <c r="M93" s="1807"/>
      <c r="N93" s="1807"/>
      <c r="O93" s="1807"/>
      <c r="P93" s="1807"/>
      <c r="Q93" s="1807"/>
      <c r="R93" s="1807"/>
      <c r="S93" s="1807"/>
      <c r="T93" s="1807"/>
      <c r="U93" s="1807"/>
      <c r="V93" s="1807"/>
      <c r="W93" s="1807"/>
      <c r="X93" s="1807"/>
      <c r="Y93" s="1807"/>
      <c r="Z93" s="1807"/>
      <c r="AA93" s="1807"/>
      <c r="AB93" s="1807"/>
      <c r="AC93" s="1807"/>
      <c r="AD93" s="1807"/>
      <c r="AE93" s="1807"/>
      <c r="AF93" s="1807"/>
      <c r="AG93" s="1807"/>
      <c r="AH93" s="1807"/>
      <c r="AI93" s="1807"/>
      <c r="AJ93" s="1807"/>
      <c r="AK93" s="1807"/>
      <c r="AL93" s="1807"/>
      <c r="AM93" s="1807"/>
      <c r="AN93" s="1807"/>
      <c r="AO93" s="1807"/>
      <c r="AP93" s="1807"/>
      <c r="AQ93" s="1807"/>
      <c r="AR93" s="1807"/>
      <c r="AS93" s="1807"/>
      <c r="AT93" s="1807"/>
      <c r="AU93" s="20"/>
      <c r="AV93" s="20"/>
      <c r="AW93" s="20"/>
      <c r="AX93" s="20"/>
      <c r="AY93" s="20"/>
      <c r="AZ93" s="20"/>
      <c r="BD93" s="1246" t="s">
        <v>2586</v>
      </c>
      <c r="BE93" s="1248" t="str">
        <f>Application!W234</f>
        <v>CA</v>
      </c>
    </row>
    <row r="94" spans="1:57" ht="12.95" customHeight="1">
      <c r="A94" s="1807"/>
      <c r="B94" s="1807"/>
      <c r="C94" s="1807"/>
      <c r="D94" s="1807"/>
      <c r="E94" s="1807"/>
      <c r="F94" s="1807"/>
      <c r="G94" s="1807"/>
      <c r="H94" s="1807"/>
      <c r="I94" s="1807"/>
      <c r="J94" s="1807"/>
      <c r="K94" s="1807"/>
      <c r="L94" s="1807"/>
      <c r="M94" s="1807"/>
      <c r="N94" s="1807"/>
      <c r="O94" s="1807"/>
      <c r="P94" s="1807"/>
      <c r="Q94" s="1807"/>
      <c r="R94" s="1807"/>
      <c r="S94" s="1807"/>
      <c r="T94" s="1807"/>
      <c r="U94" s="1807"/>
      <c r="V94" s="1807"/>
      <c r="W94" s="1807"/>
      <c r="X94" s="1807"/>
      <c r="Y94" s="1807"/>
      <c r="Z94" s="1807"/>
      <c r="AA94" s="1807"/>
      <c r="AB94" s="1807"/>
      <c r="AC94" s="1807"/>
      <c r="AD94" s="1807"/>
      <c r="AE94" s="1807"/>
      <c r="AF94" s="1807"/>
      <c r="AG94" s="1807"/>
      <c r="AH94" s="1807"/>
      <c r="AI94" s="1807"/>
      <c r="AJ94" s="1807"/>
      <c r="AK94" s="1807"/>
      <c r="AL94" s="1807"/>
      <c r="AM94" s="1807"/>
      <c r="AN94" s="1807"/>
      <c r="AO94" s="1807"/>
      <c r="AP94" s="1807"/>
      <c r="AQ94" s="1807"/>
      <c r="AR94" s="1807"/>
      <c r="AS94" s="1807"/>
      <c r="AT94" s="1807"/>
      <c r="AU94" s="20"/>
      <c r="AV94" s="20"/>
      <c r="AW94" s="20"/>
      <c r="AX94" s="20"/>
      <c r="AY94" s="20"/>
      <c r="AZ94" s="20"/>
      <c r="BD94" s="1247" t="s">
        <v>2587</v>
      </c>
      <c r="BE94" s="1248">
        <f>Application!AC234</f>
        <v>90064</v>
      </c>
    </row>
    <row r="95" spans="1:57" ht="12.95" customHeight="1">
      <c r="A95" s="1807"/>
      <c r="B95" s="1807"/>
      <c r="C95" s="1807"/>
      <c r="D95" s="1807"/>
      <c r="E95" s="1807"/>
      <c r="F95" s="1807"/>
      <c r="G95" s="1807"/>
      <c r="H95" s="1807"/>
      <c r="I95" s="1807"/>
      <c r="J95" s="1807"/>
      <c r="K95" s="1807"/>
      <c r="L95" s="1807"/>
      <c r="M95" s="1807"/>
      <c r="N95" s="1807"/>
      <c r="O95" s="1807"/>
      <c r="P95" s="1807"/>
      <c r="Q95" s="1807"/>
      <c r="R95" s="1807"/>
      <c r="S95" s="1807"/>
      <c r="T95" s="1807"/>
      <c r="U95" s="1807"/>
      <c r="V95" s="1807"/>
      <c r="W95" s="1807"/>
      <c r="X95" s="1807"/>
      <c r="Y95" s="1807"/>
      <c r="Z95" s="1807"/>
      <c r="AA95" s="1807"/>
      <c r="AB95" s="1807"/>
      <c r="AC95" s="1807"/>
      <c r="AD95" s="1807"/>
      <c r="AE95" s="1807"/>
      <c r="AF95" s="1807"/>
      <c r="AG95" s="1807"/>
      <c r="AH95" s="1807"/>
      <c r="AI95" s="1807"/>
      <c r="AJ95" s="1807"/>
      <c r="AK95" s="1807"/>
      <c r="AL95" s="1807"/>
      <c r="AM95" s="1807"/>
      <c r="AN95" s="1807"/>
      <c r="AO95" s="1807"/>
      <c r="AP95" s="1807"/>
      <c r="AQ95" s="1807"/>
      <c r="AR95" s="1807"/>
      <c r="AS95" s="1807"/>
      <c r="AT95" s="1807"/>
      <c r="AU95" s="20"/>
      <c r="AV95" s="20"/>
      <c r="AW95" s="20"/>
      <c r="AX95" s="20"/>
      <c r="AY95" s="20"/>
      <c r="AZ95" s="20"/>
      <c r="BD95" s="1246" t="s">
        <v>2588</v>
      </c>
      <c r="BE95" s="1248" t="str">
        <f>Application!M235</f>
        <v xml:space="preserve">Taylor Rasmussen </v>
      </c>
    </row>
    <row r="96" spans="1:57" ht="12.95" customHeight="1">
      <c r="A96" s="1807"/>
      <c r="B96" s="1807"/>
      <c r="C96" s="1807"/>
      <c r="D96" s="1807"/>
      <c r="E96" s="1807"/>
      <c r="F96" s="1807"/>
      <c r="G96" s="1807"/>
      <c r="H96" s="1807"/>
      <c r="I96" s="1807"/>
      <c r="J96" s="1807"/>
      <c r="K96" s="1807"/>
      <c r="L96" s="1807"/>
      <c r="M96" s="1807"/>
      <c r="N96" s="1807"/>
      <c r="O96" s="1807"/>
      <c r="P96" s="1807"/>
      <c r="Q96" s="1807"/>
      <c r="R96" s="1807"/>
      <c r="S96" s="1807"/>
      <c r="T96" s="1807"/>
      <c r="U96" s="1807"/>
      <c r="V96" s="1807"/>
      <c r="W96" s="1807"/>
      <c r="X96" s="1807"/>
      <c r="Y96" s="1807"/>
      <c r="Z96" s="1807"/>
      <c r="AA96" s="1807"/>
      <c r="AB96" s="1807"/>
      <c r="AC96" s="1807"/>
      <c r="AD96" s="1807"/>
      <c r="AE96" s="1807"/>
      <c r="AF96" s="1807"/>
      <c r="AG96" s="1807"/>
      <c r="AH96" s="1807"/>
      <c r="AI96" s="1807"/>
      <c r="AJ96" s="1807"/>
      <c r="AK96" s="1807"/>
      <c r="AL96" s="1807"/>
      <c r="AM96" s="1807"/>
      <c r="AN96" s="1807"/>
      <c r="AO96" s="1807"/>
      <c r="AP96" s="1807"/>
      <c r="AQ96" s="1807"/>
      <c r="AR96" s="1807"/>
      <c r="AS96" s="1807"/>
      <c r="AT96" s="1807"/>
      <c r="AU96" s="20"/>
      <c r="AV96" s="20"/>
      <c r="AW96" s="20"/>
      <c r="AX96" s="20"/>
      <c r="AY96" s="20"/>
      <c r="AZ96" s="20"/>
      <c r="BD96" s="1247" t="s">
        <v>2589</v>
      </c>
      <c r="BE96" s="1248" t="str">
        <f>Application!M237</f>
        <v>trasmussen@metahousing.com</v>
      </c>
    </row>
    <row r="97" spans="1:57" ht="12.95" customHeight="1">
      <c r="A97" s="1807"/>
      <c r="B97" s="1807"/>
      <c r="C97" s="1807"/>
      <c r="D97" s="1807"/>
      <c r="E97" s="1807"/>
      <c r="F97" s="1807"/>
      <c r="G97" s="1807"/>
      <c r="H97" s="1807"/>
      <c r="I97" s="1807"/>
      <c r="J97" s="1807"/>
      <c r="K97" s="1807"/>
      <c r="L97" s="1807"/>
      <c r="M97" s="1807"/>
      <c r="N97" s="1807"/>
      <c r="O97" s="1807"/>
      <c r="P97" s="1807"/>
      <c r="Q97" s="1807"/>
      <c r="R97" s="1807"/>
      <c r="S97" s="1807"/>
      <c r="T97" s="1807"/>
      <c r="U97" s="1807"/>
      <c r="V97" s="1807"/>
      <c r="W97" s="1807"/>
      <c r="X97" s="1807"/>
      <c r="Y97" s="1807"/>
      <c r="Z97" s="1807"/>
      <c r="AA97" s="1807"/>
      <c r="AB97" s="1807"/>
      <c r="AC97" s="1807"/>
      <c r="AD97" s="1807"/>
      <c r="AE97" s="1807"/>
      <c r="AF97" s="1807"/>
      <c r="AG97" s="1807"/>
      <c r="AH97" s="1807"/>
      <c r="AI97" s="1807"/>
      <c r="AJ97" s="1807"/>
      <c r="AK97" s="1807"/>
      <c r="AL97" s="1807"/>
      <c r="AM97" s="1807"/>
      <c r="AN97" s="1807"/>
      <c r="AO97" s="1807"/>
      <c r="AP97" s="1807"/>
      <c r="AQ97" s="1807"/>
      <c r="AR97" s="1807"/>
      <c r="AS97" s="1807"/>
      <c r="AT97" s="1807"/>
      <c r="AU97" s="20"/>
      <c r="AV97" s="20"/>
      <c r="AW97" s="20"/>
      <c r="AX97" s="20"/>
      <c r="AY97" s="20"/>
      <c r="AZ97" s="20"/>
      <c r="BD97" s="1246" t="s">
        <v>2590</v>
      </c>
      <c r="BE97" s="1248" t="str">
        <f>Application!M248</f>
        <v>trasmussen@metahousing.com</v>
      </c>
    </row>
    <row r="98" spans="1:57" ht="12.95" customHeight="1">
      <c r="A98" s="1807"/>
      <c r="B98" s="1807"/>
      <c r="C98" s="1807"/>
      <c r="D98" s="1807"/>
      <c r="E98" s="1807"/>
      <c r="F98" s="1807"/>
      <c r="G98" s="1807"/>
      <c r="H98" s="1807"/>
      <c r="I98" s="1807"/>
      <c r="J98" s="1807"/>
      <c r="K98" s="1807"/>
      <c r="L98" s="1807"/>
      <c r="M98" s="1807"/>
      <c r="N98" s="1807"/>
      <c r="O98" s="1807"/>
      <c r="P98" s="1807"/>
      <c r="Q98" s="1807"/>
      <c r="R98" s="1807"/>
      <c r="S98" s="1807"/>
      <c r="T98" s="1807"/>
      <c r="U98" s="1807"/>
      <c r="V98" s="1807"/>
      <c r="W98" s="1807"/>
      <c r="X98" s="1807"/>
      <c r="Y98" s="1807"/>
      <c r="Z98" s="1807"/>
      <c r="AA98" s="1807"/>
      <c r="AB98" s="1807"/>
      <c r="AC98" s="1807"/>
      <c r="AD98" s="1807"/>
      <c r="AE98" s="1807"/>
      <c r="AF98" s="1807"/>
      <c r="AG98" s="1807"/>
      <c r="AH98" s="1807"/>
      <c r="AI98" s="1807"/>
      <c r="AJ98" s="1807"/>
      <c r="AK98" s="1807"/>
      <c r="AL98" s="1807"/>
      <c r="AM98" s="1807"/>
      <c r="AN98" s="1807"/>
      <c r="AO98" s="1807"/>
      <c r="AP98" s="1807"/>
      <c r="AQ98" s="1807"/>
      <c r="AR98" s="1807"/>
      <c r="AS98" s="1807"/>
      <c r="AT98" s="1807"/>
      <c r="AU98" s="20"/>
      <c r="AV98" s="20"/>
      <c r="AW98" s="20"/>
      <c r="AX98" s="20"/>
      <c r="AY98" s="20"/>
      <c r="AZ98" s="20"/>
      <c r="BD98" s="1247" t="s">
        <v>2591</v>
      </c>
      <c r="BE98" s="1248" t="str">
        <f>Application!M256</f>
        <v>tarun@ffah.org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6" t="s">
        <v>2592</v>
      </c>
      <c r="BE99" s="1248">
        <f>Application!M264</f>
        <v>0</v>
      </c>
    </row>
    <row r="100" spans="1:57" ht="12.95" customHeight="1">
      <c r="A100" s="1808" t="s">
        <v>2165</v>
      </c>
      <c r="B100" s="1808"/>
      <c r="C100" s="1808"/>
      <c r="D100" s="1808"/>
      <c r="E100" s="1808"/>
      <c r="F100" s="1808"/>
      <c r="G100" s="1808"/>
      <c r="H100" s="1808"/>
      <c r="I100" s="1808"/>
      <c r="J100" s="1808"/>
      <c r="K100" s="1808"/>
      <c r="L100" s="1808"/>
      <c r="M100" s="1808"/>
      <c r="N100" s="1808"/>
      <c r="O100" s="1808"/>
      <c r="P100" s="1808"/>
      <c r="Q100" s="1808"/>
      <c r="R100" s="1808"/>
      <c r="S100" s="1808"/>
      <c r="T100" s="1808"/>
      <c r="U100" s="1808"/>
      <c r="V100" s="1808"/>
      <c r="W100" s="1808"/>
      <c r="X100" s="1808"/>
      <c r="Y100" s="1808"/>
      <c r="Z100" s="1808"/>
      <c r="AA100" s="1808"/>
      <c r="AB100" s="1808"/>
      <c r="AC100" s="1808"/>
      <c r="AD100" s="1808"/>
      <c r="AE100" s="1808"/>
      <c r="AF100" s="1808"/>
      <c r="AG100" s="1808"/>
      <c r="AH100" s="1808"/>
      <c r="AI100" s="1808"/>
      <c r="AJ100" s="1808"/>
      <c r="AK100" s="1808"/>
      <c r="AL100" s="1808"/>
      <c r="AM100" s="1808"/>
      <c r="AN100" s="1808"/>
      <c r="AO100" s="1808"/>
      <c r="AP100" s="1808"/>
      <c r="AQ100" s="1808"/>
      <c r="AR100" s="1808"/>
      <c r="AS100" s="1808"/>
      <c r="AT100" s="1808"/>
      <c r="AU100" s="20"/>
      <c r="AV100" s="20"/>
      <c r="AW100" s="20"/>
      <c r="AX100" s="20"/>
      <c r="AY100" s="20"/>
      <c r="AZ100" s="20"/>
      <c r="BD100" s="1247" t="s">
        <v>2593</v>
      </c>
      <c r="BE100" s="1248" t="str">
        <f>Application!L279</f>
        <v>cmaffris@metahousing.com</v>
      </c>
    </row>
    <row r="101" spans="1:57" ht="12.95" customHeight="1">
      <c r="A101" s="1808"/>
      <c r="B101" s="1808"/>
      <c r="C101" s="1808"/>
      <c r="D101" s="1808"/>
      <c r="E101" s="1808"/>
      <c r="F101" s="1808"/>
      <c r="G101" s="1808"/>
      <c r="H101" s="1808"/>
      <c r="I101" s="1808"/>
      <c r="J101" s="1808"/>
      <c r="K101" s="1808"/>
      <c r="L101" s="1808"/>
      <c r="M101" s="1808"/>
      <c r="N101" s="1808"/>
      <c r="O101" s="1808"/>
      <c r="P101" s="1808"/>
      <c r="Q101" s="1808"/>
      <c r="R101" s="1808"/>
      <c r="S101" s="1808"/>
      <c r="T101" s="1808"/>
      <c r="U101" s="1808"/>
      <c r="V101" s="1808"/>
      <c r="W101" s="1808"/>
      <c r="X101" s="1808"/>
      <c r="Y101" s="1808"/>
      <c r="Z101" s="1808"/>
      <c r="AA101" s="1808"/>
      <c r="AB101" s="1808"/>
      <c r="AC101" s="1808"/>
      <c r="AD101" s="1808"/>
      <c r="AE101" s="1808"/>
      <c r="AF101" s="1808"/>
      <c r="AG101" s="1808"/>
      <c r="AH101" s="1808"/>
      <c r="AI101" s="1808"/>
      <c r="AJ101" s="1808"/>
      <c r="AK101" s="1808"/>
      <c r="AL101" s="1808"/>
      <c r="AM101" s="1808"/>
      <c r="AN101" s="1808"/>
      <c r="AO101" s="1808"/>
      <c r="AP101" s="1808"/>
      <c r="AQ101" s="1808"/>
      <c r="AR101" s="1808"/>
      <c r="AS101" s="1808"/>
      <c r="AT101" s="1808"/>
      <c r="AU101" s="20"/>
      <c r="AV101" s="20"/>
      <c r="AW101" s="20"/>
      <c r="AX101" s="20"/>
      <c r="AY101" s="20"/>
      <c r="AZ101" s="20"/>
      <c r="BD101" s="3" t="s">
        <v>2598</v>
      </c>
      <c r="BE101">
        <f>'Sources and Uses Budget'!C105</f>
        <v>124739671</v>
      </c>
    </row>
    <row r="102" spans="1:57" ht="12.95" customHeight="1">
      <c r="A102" s="1808"/>
      <c r="B102" s="1808"/>
      <c r="C102" s="1808"/>
      <c r="D102" s="1808"/>
      <c r="E102" s="1808"/>
      <c r="F102" s="1808"/>
      <c r="G102" s="1808"/>
      <c r="H102" s="1808"/>
      <c r="I102" s="1808"/>
      <c r="J102" s="1808"/>
      <c r="K102" s="1808"/>
      <c r="L102" s="1808"/>
      <c r="M102" s="1808"/>
      <c r="N102" s="1808"/>
      <c r="O102" s="1808"/>
      <c r="P102" s="1808"/>
      <c r="Q102" s="1808"/>
      <c r="R102" s="1808"/>
      <c r="S102" s="1808"/>
      <c r="T102" s="1808"/>
      <c r="U102" s="1808"/>
      <c r="V102" s="1808"/>
      <c r="W102" s="1808"/>
      <c r="X102" s="1808"/>
      <c r="Y102" s="1808"/>
      <c r="Z102" s="1808"/>
      <c r="AA102" s="1808"/>
      <c r="AB102" s="1808"/>
      <c r="AC102" s="1808"/>
      <c r="AD102" s="1808"/>
      <c r="AE102" s="1808"/>
      <c r="AF102" s="1808"/>
      <c r="AG102" s="1808"/>
      <c r="AH102" s="1808"/>
      <c r="AI102" s="1808"/>
      <c r="AJ102" s="1808"/>
      <c r="AK102" s="1808"/>
      <c r="AL102" s="1808"/>
      <c r="AM102" s="1808"/>
      <c r="AN102" s="1808"/>
      <c r="AO102" s="1808"/>
      <c r="AP102" s="1808"/>
      <c r="AQ102" s="1808"/>
      <c r="AR102" s="1808"/>
      <c r="AS102" s="1808"/>
      <c r="AT102" s="1808"/>
      <c r="AU102" s="20"/>
      <c r="AV102" s="20"/>
      <c r="AW102" s="20"/>
      <c r="AX102" s="20"/>
      <c r="AY102" s="20"/>
      <c r="AZ102" s="20"/>
      <c r="BD102" s="3" t="s">
        <v>2599</v>
      </c>
      <c r="BE102" t="b">
        <f>T197="Yes"</f>
        <v>0</v>
      </c>
    </row>
    <row r="103" spans="1:57" ht="12.95" customHeight="1">
      <c r="A103" s="1808"/>
      <c r="B103" s="1808"/>
      <c r="C103" s="1808"/>
      <c r="D103" s="1808"/>
      <c r="E103" s="1808"/>
      <c r="F103" s="1808"/>
      <c r="G103" s="1808"/>
      <c r="H103" s="1808"/>
      <c r="I103" s="1808"/>
      <c r="J103" s="1808"/>
      <c r="K103" s="1808"/>
      <c r="L103" s="1808"/>
      <c r="M103" s="1808"/>
      <c r="N103" s="1808"/>
      <c r="O103" s="1808"/>
      <c r="P103" s="1808"/>
      <c r="Q103" s="1808"/>
      <c r="R103" s="1808"/>
      <c r="S103" s="1808"/>
      <c r="T103" s="1808"/>
      <c r="U103" s="1808"/>
      <c r="V103" s="1808"/>
      <c r="W103" s="1808"/>
      <c r="X103" s="1808"/>
      <c r="Y103" s="1808"/>
      <c r="Z103" s="1808"/>
      <c r="AA103" s="1808"/>
      <c r="AB103" s="1808"/>
      <c r="AC103" s="1808"/>
      <c r="AD103" s="1808"/>
      <c r="AE103" s="1808"/>
      <c r="AF103" s="1808"/>
      <c r="AG103" s="1808"/>
      <c r="AH103" s="1808"/>
      <c r="AI103" s="1808"/>
      <c r="AJ103" s="1808"/>
      <c r="AK103" s="1808"/>
      <c r="AL103" s="1808"/>
      <c r="AM103" s="1808"/>
      <c r="AN103" s="1808"/>
      <c r="AO103" s="1808"/>
      <c r="AP103" s="1808"/>
      <c r="AQ103" s="1808"/>
      <c r="AR103" s="1808"/>
      <c r="AS103" s="1808"/>
      <c r="AT103" s="1808"/>
      <c r="AU103" s="20"/>
      <c r="AV103" s="20"/>
      <c r="AW103" s="20"/>
      <c r="AX103" s="20"/>
      <c r="AY103" s="20"/>
      <c r="BD103" t="s">
        <v>2175</v>
      </c>
      <c r="BE103" s="1248"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808" t="s">
        <v>2166</v>
      </c>
      <c r="B105" s="1808"/>
      <c r="C105" s="1808"/>
      <c r="D105" s="1808"/>
      <c r="E105" s="1808"/>
      <c r="F105" s="1808"/>
      <c r="G105" s="1808"/>
      <c r="H105" s="1808"/>
      <c r="I105" s="1808"/>
      <c r="J105" s="1808"/>
      <c r="K105" s="1808"/>
      <c r="L105" s="1808"/>
      <c r="M105" s="1808"/>
      <c r="N105" s="1808"/>
      <c r="O105" s="1808"/>
      <c r="P105" s="1808"/>
      <c r="Q105" s="1808"/>
      <c r="R105" s="1808"/>
      <c r="S105" s="1808"/>
      <c r="T105" s="1808"/>
      <c r="U105" s="1808"/>
      <c r="V105" s="1808"/>
      <c r="W105" s="1808"/>
      <c r="X105" s="1808"/>
      <c r="Y105" s="1808"/>
      <c r="Z105" s="1808"/>
      <c r="AA105" s="1808"/>
      <c r="AB105" s="1808"/>
      <c r="AC105" s="1808"/>
      <c r="AD105" s="1808"/>
      <c r="AE105" s="1808"/>
      <c r="AF105" s="1808"/>
      <c r="AG105" s="1808"/>
      <c r="AH105" s="1808"/>
      <c r="AI105" s="1808"/>
      <c r="AJ105" s="1808"/>
      <c r="AK105" s="1808"/>
      <c r="AL105" s="1808"/>
      <c r="AM105" s="1808"/>
      <c r="AN105" s="1808"/>
      <c r="AO105" s="1808"/>
      <c r="AP105" s="1808"/>
      <c r="AQ105" s="1808"/>
      <c r="AR105" s="1808"/>
      <c r="AS105" s="1808"/>
      <c r="AT105" s="1808"/>
      <c r="AU105" s="20"/>
      <c r="AV105" s="20"/>
      <c r="AW105" s="20"/>
      <c r="AX105" s="20"/>
      <c r="AY105" s="20"/>
    </row>
    <row r="106" spans="1:57" ht="12.95" customHeight="1">
      <c r="A106" s="1808"/>
      <c r="B106" s="1808"/>
      <c r="C106" s="1808"/>
      <c r="D106" s="1808"/>
      <c r="E106" s="1808"/>
      <c r="F106" s="1808"/>
      <c r="G106" s="1808"/>
      <c r="H106" s="1808"/>
      <c r="I106" s="1808"/>
      <c r="J106" s="1808"/>
      <c r="K106" s="1808"/>
      <c r="L106" s="1808"/>
      <c r="M106" s="1808"/>
      <c r="N106" s="1808"/>
      <c r="O106" s="1808"/>
      <c r="P106" s="1808"/>
      <c r="Q106" s="1808"/>
      <c r="R106" s="1808"/>
      <c r="S106" s="1808"/>
      <c r="T106" s="1808"/>
      <c r="U106" s="1808"/>
      <c r="V106" s="1808"/>
      <c r="W106" s="1808"/>
      <c r="X106" s="1808"/>
      <c r="Y106" s="1808"/>
      <c r="Z106" s="1808"/>
      <c r="AA106" s="1808"/>
      <c r="AB106" s="1808"/>
      <c r="AC106" s="1808"/>
      <c r="AD106" s="1808"/>
      <c r="AE106" s="1808"/>
      <c r="AF106" s="1808"/>
      <c r="AG106" s="1808"/>
      <c r="AH106" s="1808"/>
      <c r="AI106" s="1808"/>
      <c r="AJ106" s="1808"/>
      <c r="AK106" s="1808"/>
      <c r="AL106" s="1808"/>
      <c r="AM106" s="1808"/>
      <c r="AN106" s="1808"/>
      <c r="AO106" s="1808"/>
      <c r="AP106" s="1808"/>
      <c r="AQ106" s="1808"/>
      <c r="AR106" s="1808"/>
      <c r="AS106" s="1808"/>
      <c r="AT106" s="1808"/>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5">
        <v>2</v>
      </c>
      <c r="H113" s="1795"/>
      <c r="I113" s="3" t="s">
        <v>182</v>
      </c>
      <c r="L113" s="1795" t="s">
        <v>2622</v>
      </c>
      <c r="M113" s="1795"/>
      <c r="N113" s="1795"/>
      <c r="O113" s="1795"/>
      <c r="P113" s="1796" t="s">
        <v>2240</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18" t="s">
        <v>2623</v>
      </c>
      <c r="D115" s="1818"/>
      <c r="E115" s="1818"/>
      <c r="F115" s="1818"/>
      <c r="G115" s="1818"/>
      <c r="H115" s="1818"/>
      <c r="I115" s="1818"/>
      <c r="J115" s="1818"/>
      <c r="K115" s="1818"/>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95"/>
      <c r="Z117" s="1795"/>
      <c r="AA117" s="1795"/>
      <c r="AB117" s="1795"/>
      <c r="AC117" s="1795"/>
      <c r="AD117" s="1795"/>
      <c r="AE117" s="1795"/>
      <c r="AF117" s="1795"/>
      <c r="AG117" s="1795"/>
      <c r="AH117" s="1795"/>
      <c r="AI117" s="1795"/>
      <c r="AJ117" s="1795"/>
      <c r="AK117" s="1795"/>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5" t="s">
        <v>2620</v>
      </c>
      <c r="Z120" s="1795"/>
      <c r="AA120" s="1795"/>
      <c r="AB120" s="1795"/>
      <c r="AC120" s="1795"/>
      <c r="AD120" s="1795"/>
      <c r="AE120" s="1795"/>
      <c r="AF120" s="1795"/>
      <c r="AG120" s="1795"/>
      <c r="AH120" s="1795"/>
      <c r="AI120" s="1795"/>
      <c r="AJ120" s="1795"/>
      <c r="AK120" s="1795"/>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49" t="s">
        <v>469</v>
      </c>
      <c r="CV122" s="1650"/>
      <c r="CW122" s="14"/>
      <c r="CX122" s="14" t="s">
        <v>634</v>
      </c>
      <c r="CY122" s="14"/>
      <c r="CZ122" s="14"/>
      <c r="DA122" s="14"/>
      <c r="DB122" s="14"/>
      <c r="DC122" s="14"/>
      <c r="DD122" s="14"/>
      <c r="DE122" s="14"/>
      <c r="DF122" s="14"/>
      <c r="DG122" s="1646" t="str">
        <f>T189</f>
        <v>Los Angeles</v>
      </c>
      <c r="DH122" s="1647"/>
      <c r="DI122" s="1647"/>
      <c r="DJ122" s="1647"/>
      <c r="DK122" s="1647"/>
      <c r="DL122" s="1647"/>
      <c r="DM122" s="1648"/>
    </row>
    <row r="123" spans="1:117" ht="12.95" customHeight="1">
      <c r="A123" s="3"/>
      <c r="B123" s="3"/>
      <c r="T123" s="3"/>
      <c r="U123" s="3"/>
      <c r="V123" s="3"/>
      <c r="W123" s="3"/>
      <c r="X123" s="3"/>
      <c r="Y123" s="1795" t="s">
        <v>2621</v>
      </c>
      <c r="Z123" s="1795"/>
      <c r="AA123" s="1795"/>
      <c r="AB123" s="1795"/>
      <c r="AC123" s="1795"/>
      <c r="AD123" s="1795"/>
      <c r="AE123" s="1795"/>
      <c r="AF123" s="1795"/>
      <c r="AG123" s="1795"/>
      <c r="AH123" s="1795"/>
      <c r="AI123" s="1795"/>
      <c r="AJ123" s="1795"/>
      <c r="AK123" s="1795"/>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4"/>
      <c r="G150" s="1334"/>
      <c r="H150" s="1334"/>
      <c r="I150" s="1334"/>
      <c r="J150" s="1334"/>
      <c r="K150" s="1334"/>
      <c r="L150" s="1334"/>
      <c r="M150" s="1334"/>
      <c r="N150" s="1334"/>
      <c r="O150" s="1334"/>
      <c r="P150" s="1334"/>
      <c r="Q150" s="1334"/>
      <c r="R150" s="1334"/>
      <c r="S150" s="1334"/>
      <c r="T150" s="133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2.95" customHeight="1">
      <c r="BM152">
        <v>4</v>
      </c>
      <c r="BN152" s="3" t="s">
        <v>2465</v>
      </c>
    </row>
    <row r="153" spans="1:108" ht="12.95" customHeight="1">
      <c r="D153" t="s">
        <v>645</v>
      </c>
      <c r="O153" s="1418" t="s">
        <v>2624</v>
      </c>
      <c r="P153" s="1419"/>
      <c r="Q153" s="1419"/>
      <c r="R153" s="1419"/>
      <c r="S153" s="1419"/>
      <c r="T153" s="1419"/>
      <c r="U153" s="1419"/>
      <c r="V153" s="1419"/>
      <c r="W153" s="1419"/>
      <c r="X153" s="1419"/>
      <c r="Y153" s="1419"/>
      <c r="Z153" s="1419"/>
      <c r="AA153" s="1419"/>
      <c r="AB153" s="1419"/>
      <c r="AC153" s="1419"/>
      <c r="AD153" s="1419"/>
      <c r="AE153" s="1419"/>
      <c r="AF153" s="1419"/>
      <c r="AG153" s="1419"/>
      <c r="AH153" s="1419"/>
      <c r="BM153">
        <v>5</v>
      </c>
      <c r="BN153" s="3" t="s">
        <v>2467</v>
      </c>
      <c r="CR153" s="31" t="s">
        <v>2600</v>
      </c>
      <c r="CS153" s="32"/>
      <c r="CT153" s="32"/>
      <c r="CU153" s="32"/>
      <c r="CV153" s="32"/>
      <c r="CW153" s="32"/>
      <c r="CX153" s="14"/>
      <c r="CY153" s="31" t="s">
        <v>2601</v>
      </c>
      <c r="CZ153" s="14"/>
      <c r="DA153" s="14"/>
      <c r="DB153" s="14"/>
      <c r="DC153" s="14"/>
      <c r="DD153" s="14"/>
    </row>
    <row r="154" spans="1:108" ht="12.95" customHeight="1">
      <c r="D154" s="303" t="s">
        <v>440</v>
      </c>
      <c r="O154" s="1532" t="s">
        <v>2625</v>
      </c>
      <c r="P154" s="1441"/>
      <c r="Q154" s="1441"/>
      <c r="R154" s="1441"/>
      <c r="S154" s="1441"/>
      <c r="T154" s="1441"/>
      <c r="U154" s="1441"/>
      <c r="V154" s="1441"/>
      <c r="W154" s="1441"/>
      <c r="X154" s="1441"/>
      <c r="Y154" s="1441"/>
      <c r="Z154" s="1441"/>
      <c r="AA154" s="1441"/>
      <c r="AB154" s="1441"/>
      <c r="AC154" s="1441"/>
      <c r="AD154" s="1441"/>
      <c r="AE154" s="1441"/>
      <c r="AF154" s="1441"/>
      <c r="AG154" s="1441"/>
      <c r="AH154" s="1441"/>
      <c r="BM154">
        <v>6</v>
      </c>
      <c r="BN154" s="3" t="s">
        <v>2468</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23" t="s">
        <v>2706</v>
      </c>
      <c r="P155" s="1824"/>
      <c r="Q155" s="1824"/>
      <c r="R155" s="1824"/>
      <c r="S155" s="1824"/>
      <c r="T155" s="1824"/>
      <c r="U155" s="1824"/>
      <c r="V155" s="1824"/>
      <c r="W155" s="1824"/>
      <c r="X155" s="1824"/>
      <c r="Y155" s="1824"/>
      <c r="Z155" s="1824"/>
      <c r="AA155" s="1824"/>
      <c r="AB155" s="1824"/>
      <c r="AC155" s="1824"/>
      <c r="AD155" s="1824"/>
      <c r="AE155" s="1824"/>
      <c r="AF155" s="1824"/>
      <c r="AG155" s="1824"/>
      <c r="AH155" s="1824"/>
      <c r="BM155">
        <v>7</v>
      </c>
      <c r="BN155" s="3" t="s">
        <v>591</v>
      </c>
      <c r="CR155" s="31"/>
      <c r="CS155" s="32"/>
      <c r="CT155" s="32"/>
      <c r="CU155" s="32"/>
      <c r="CV155" s="32"/>
      <c r="CW155" s="32"/>
      <c r="CX155" s="14"/>
      <c r="CY155" s="31"/>
      <c r="CZ155" s="14"/>
      <c r="DA155" s="14"/>
      <c r="DB155" s="14"/>
      <c r="DC155" s="14"/>
      <c r="DD155" s="14"/>
    </row>
    <row r="156" spans="1:108" ht="12.95" customHeight="1">
      <c r="D156" t="s">
        <v>313</v>
      </c>
      <c r="O156" s="1418" t="s">
        <v>2626</v>
      </c>
      <c r="P156" s="1339"/>
      <c r="Q156" s="1339"/>
      <c r="R156" s="1339"/>
      <c r="S156" s="1339"/>
      <c r="T156" s="1339"/>
      <c r="U156" s="1339"/>
      <c r="V156" s="1339"/>
      <c r="W156" s="1339"/>
      <c r="X156" s="1339"/>
      <c r="Y156" s="1339"/>
      <c r="Z156" s="1339"/>
      <c r="AA156" s="1339"/>
      <c r="AB156" s="1339"/>
      <c r="AC156" s="1339"/>
      <c r="AD156" s="1339"/>
      <c r="AE156" s="1339"/>
      <c r="AF156" s="1339"/>
      <c r="AG156" s="1339"/>
      <c r="AH156" s="1339"/>
      <c r="BT156" t="s">
        <v>307</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8" t="s">
        <v>494</v>
      </c>
      <c r="P157" s="1419"/>
      <c r="Q157" s="1419"/>
      <c r="R157" s="1419"/>
      <c r="S157" s="1419"/>
      <c r="T157" s="1419"/>
      <c r="U157" s="1419"/>
      <c r="V157" s="1419"/>
      <c r="W157" s="1419"/>
      <c r="X157" s="1419"/>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811">
        <v>90017</v>
      </c>
      <c r="P158" s="1811"/>
      <c r="Q158" s="1811"/>
      <c r="R158" s="1811"/>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93" t="s">
        <v>2627</v>
      </c>
      <c r="P159" s="1797"/>
      <c r="Q159" s="1797"/>
      <c r="R159" s="1797"/>
      <c r="S159" s="1797"/>
      <c r="T159" s="1797"/>
      <c r="V159" s="97" t="s">
        <v>271</v>
      </c>
      <c r="W159" s="1812"/>
      <c r="X159" s="1812"/>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5" customHeight="1">
      <c r="D160" t="s">
        <v>317</v>
      </c>
      <c r="O160" s="1793" t="s">
        <v>2628</v>
      </c>
      <c r="P160" s="1797"/>
      <c r="Q160" s="1797"/>
      <c r="R160" s="1797"/>
      <c r="S160" s="1797"/>
      <c r="T160" s="1797"/>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318</v>
      </c>
      <c r="O161" s="1787" t="s">
        <v>2629</v>
      </c>
      <c r="P161" s="1787"/>
      <c r="Q161" s="1787"/>
      <c r="R161" s="1787"/>
      <c r="S161" s="1787"/>
      <c r="T161" s="1787"/>
      <c r="U161" s="1787"/>
      <c r="V161" s="1787"/>
      <c r="W161" s="1787"/>
      <c r="X161" s="1787"/>
      <c r="Y161" s="1787"/>
      <c r="Z161" s="1787"/>
      <c r="AA161" s="1787"/>
      <c r="AB161" s="1787"/>
      <c r="AC161" s="1787"/>
      <c r="AD161" s="1787"/>
      <c r="AE161" s="1787"/>
      <c r="AF161" s="1787"/>
      <c r="AG161" s="1787"/>
      <c r="AH161" s="1787"/>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819" t="s">
        <v>2216</v>
      </c>
      <c r="E164" s="1819"/>
      <c r="F164" s="1819"/>
      <c r="G164" s="1819"/>
      <c r="H164" s="1819"/>
      <c r="I164" s="1819"/>
      <c r="J164" s="1819"/>
      <c r="K164" s="1819"/>
      <c r="L164" s="1819"/>
      <c r="M164" s="1819"/>
      <c r="N164" s="1819"/>
      <c r="O164" s="1819"/>
      <c r="P164" s="1819"/>
      <c r="Q164" s="1819"/>
      <c r="R164" s="1819"/>
      <c r="S164" s="1819"/>
      <c r="T164" s="1819"/>
      <c r="U164" s="1819"/>
      <c r="V164" s="1819"/>
      <c r="W164" s="1819"/>
      <c r="X164" s="1819"/>
      <c r="Y164" s="1819"/>
      <c r="Z164" s="1819"/>
      <c r="AA164" s="1819"/>
      <c r="AB164" s="1819"/>
      <c r="AC164" s="1819"/>
      <c r="AD164" s="1819"/>
      <c r="AE164" s="1819"/>
      <c r="AF164" s="1819"/>
      <c r="AG164" s="1819"/>
      <c r="AH164" s="1819"/>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30" t="s">
        <v>539</v>
      </c>
      <c r="B169" s="1430"/>
      <c r="C169" s="1430"/>
      <c r="D169" s="1430"/>
      <c r="E169" s="1430"/>
      <c r="F169" s="1430"/>
      <c r="G169" s="1430"/>
      <c r="H169" s="1430"/>
      <c r="I169" s="1430"/>
      <c r="J169" s="1430"/>
      <c r="K169" s="1430"/>
      <c r="L169" s="1430"/>
      <c r="M169" s="1430"/>
      <c r="N169" s="1430"/>
      <c r="O169" s="1430"/>
      <c r="P169" s="1430"/>
      <c r="Q169" s="1430"/>
      <c r="R169" s="1430"/>
      <c r="S169" s="1430"/>
      <c r="T169" s="1430"/>
      <c r="U169" s="1430"/>
      <c r="V169" s="1430"/>
      <c r="W169" s="1430"/>
      <c r="X169" s="1430"/>
      <c r="Y169" s="1430"/>
      <c r="Z169" s="1430"/>
      <c r="AA169" s="1430"/>
      <c r="AB169" s="1430"/>
      <c r="AC169" s="1430"/>
      <c r="AD169" s="1430"/>
      <c r="AE169" s="1430"/>
      <c r="AF169" s="1430"/>
      <c r="AG169" s="1430"/>
      <c r="AH169" s="1430"/>
      <c r="AI169" s="1430"/>
      <c r="AJ169" s="1430"/>
      <c r="AK169" s="1430"/>
      <c r="AL169" s="1430"/>
      <c r="AM169" s="1430"/>
      <c r="AN169" s="1430"/>
      <c r="AO169" s="1430"/>
      <c r="AP169" s="1430"/>
      <c r="AQ169" s="1430"/>
      <c r="AR169" s="1430"/>
      <c r="AS169" s="1430"/>
      <c r="AT169" s="1430"/>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30"/>
      <c r="B170" s="1430"/>
      <c r="C170" s="1430"/>
      <c r="D170" s="1430"/>
      <c r="E170" s="1430"/>
      <c r="F170" s="1430"/>
      <c r="G170" s="1430"/>
      <c r="H170" s="1430"/>
      <c r="I170" s="1430"/>
      <c r="J170" s="1430"/>
      <c r="K170" s="1430"/>
      <c r="L170" s="1430"/>
      <c r="M170" s="1430"/>
      <c r="N170" s="1430"/>
      <c r="O170" s="1430"/>
      <c r="P170" s="1430"/>
      <c r="Q170" s="1430"/>
      <c r="R170" s="1430"/>
      <c r="S170" s="1430"/>
      <c r="T170" s="1430"/>
      <c r="U170" s="1430"/>
      <c r="V170" s="1430"/>
      <c r="W170" s="1430"/>
      <c r="X170" s="1430"/>
      <c r="Y170" s="1430"/>
      <c r="Z170" s="1430"/>
      <c r="AA170" s="1430"/>
      <c r="AB170" s="1430"/>
      <c r="AC170" s="1430"/>
      <c r="AD170" s="1430"/>
      <c r="AE170" s="1430"/>
      <c r="AF170" s="1430"/>
      <c r="AG170" s="1430"/>
      <c r="AH170" s="1430"/>
      <c r="AI170" s="1430"/>
      <c r="AJ170" s="1430"/>
      <c r="AK170" s="1430"/>
      <c r="AL170" s="1430"/>
      <c r="AM170" s="1430"/>
      <c r="AN170" s="1430"/>
      <c r="AO170" s="1430"/>
      <c r="AP170" s="1430"/>
      <c r="AQ170" s="1430"/>
      <c r="AR170" s="1430"/>
      <c r="AS170" s="1430"/>
      <c r="AT170" s="1430"/>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321</v>
      </c>
      <c r="J173" s="1822" t="s">
        <v>371</v>
      </c>
      <c r="K173" s="1822"/>
      <c r="L173" s="1822"/>
      <c r="M173" s="1822"/>
      <c r="N173" s="1822"/>
      <c r="O173" s="1822"/>
      <c r="P173" s="1822"/>
      <c r="Q173" s="1822"/>
      <c r="R173" s="1822"/>
      <c r="S173" s="1822"/>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1201</v>
      </c>
      <c r="J174" s="1339" t="s">
        <v>2101</v>
      </c>
      <c r="K174" s="1339"/>
      <c r="L174" s="1339"/>
      <c r="M174" s="1339"/>
      <c r="N174" s="1339"/>
      <c r="O174" s="1339"/>
      <c r="P174" s="1339"/>
      <c r="Q174" s="1339"/>
      <c r="R174" s="1339"/>
      <c r="S174" s="1339"/>
      <c r="T174" s="1339"/>
      <c r="U174" s="1339"/>
      <c r="V174" s="1339"/>
      <c r="W174" s="1339"/>
      <c r="X174" s="1339"/>
      <c r="Y174" s="1339"/>
      <c r="Z174" s="1339"/>
      <c r="AA174" s="1339"/>
      <c r="AB174" s="1339"/>
      <c r="BB174" t="s">
        <v>1969</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1" t="s">
        <v>669</v>
      </c>
      <c r="V175" s="1331"/>
      <c r="BB175" t="s">
        <v>1937</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2079</v>
      </c>
      <c r="T176" s="27" t="s">
        <v>305</v>
      </c>
      <c r="U176" s="1433"/>
      <c r="V176" s="1433"/>
      <c r="W176" s="1" t="s">
        <v>306</v>
      </c>
      <c r="X176" s="1803"/>
      <c r="Y176" s="1803"/>
      <c r="BB176" t="s">
        <v>1970</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1" t="s">
        <v>669</v>
      </c>
      <c r="S177" s="1331"/>
      <c r="BB177" t="s">
        <v>2213</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1202</v>
      </c>
      <c r="AA178" t="s">
        <v>2079</v>
      </c>
      <c r="AE178" s="27" t="s">
        <v>305</v>
      </c>
      <c r="AF178" s="1802"/>
      <c r="AG178" s="1802"/>
      <c r="AH178" s="1" t="s">
        <v>306</v>
      </c>
      <c r="AI178" s="1798"/>
      <c r="AJ178" s="1798"/>
      <c r="AK178" s="1798"/>
      <c r="BB178" t="s">
        <v>2214</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2080</v>
      </c>
      <c r="X180" s="1331" t="s">
        <v>669</v>
      </c>
      <c r="Y180" s="1331"/>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975</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578</v>
      </c>
      <c r="I184" s="1385" t="str">
        <f>H18</f>
        <v xml:space="preserve">21010 Vanowen </v>
      </c>
      <c r="J184" s="1385"/>
      <c r="K184" s="1385"/>
      <c r="L184" s="1385"/>
      <c r="M184" s="1385"/>
      <c r="N184" s="1385"/>
      <c r="O184" s="1385"/>
      <c r="P184" s="1385"/>
      <c r="Q184" s="1385"/>
      <c r="R184" s="1385"/>
      <c r="S184" s="1385"/>
      <c r="T184" s="1385"/>
      <c r="U184" s="1385"/>
      <c r="V184" s="1385"/>
      <c r="W184" s="1385"/>
      <c r="X184" s="1385"/>
      <c r="Y184" s="1385"/>
      <c r="Z184" s="1385"/>
      <c r="AA184" s="1385"/>
      <c r="AB184" s="1385"/>
      <c r="AC184" s="1385"/>
      <c r="AD184" s="1385"/>
      <c r="AE184" s="1385"/>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579</v>
      </c>
      <c r="I185" s="1532" t="s">
        <v>2612</v>
      </c>
      <c r="J185" s="1656"/>
      <c r="K185" s="1656"/>
      <c r="L185" s="1656"/>
      <c r="M185" s="1656"/>
      <c r="N185" s="1656"/>
      <c r="O185" s="1656"/>
      <c r="P185" s="1656"/>
      <c r="Q185" s="1656"/>
      <c r="R185" s="1656"/>
      <c r="S185" s="1656"/>
      <c r="T185" s="1656"/>
      <c r="U185" s="1656"/>
      <c r="V185" s="1656"/>
      <c r="W185" s="1656"/>
      <c r="X185" s="1656"/>
      <c r="Y185" s="1656"/>
      <c r="Z185" s="1656"/>
      <c r="AA185" s="1656"/>
      <c r="AB185" s="1656"/>
      <c r="AC185" s="1656"/>
      <c r="AD185" s="1656"/>
      <c r="AE185" s="1656"/>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5"/>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81"/>
      <c r="F188" s="1781"/>
      <c r="G188" s="1781"/>
      <c r="H188" s="1781"/>
      <c r="I188" s="1781"/>
      <c r="J188" s="1781"/>
      <c r="K188" s="1781"/>
      <c r="L188" s="1781"/>
      <c r="M188" s="1781"/>
      <c r="N188" s="1781"/>
      <c r="O188" s="1781"/>
      <c r="P188" s="1781"/>
      <c r="Q188" s="1781"/>
      <c r="R188" s="1781"/>
      <c r="S188" s="1781"/>
      <c r="T188" s="1781"/>
      <c r="U188" s="1781"/>
      <c r="V188" s="1781"/>
      <c r="W188" s="1781"/>
      <c r="X188" s="1781"/>
      <c r="Y188" s="1781"/>
      <c r="Z188" s="1781"/>
      <c r="AA188" s="1781"/>
      <c r="AB188" s="1781"/>
      <c r="AC188" s="1781"/>
      <c r="AD188" s="1781"/>
      <c r="AE188" s="1781"/>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580</v>
      </c>
      <c r="I189" s="1418" t="s">
        <v>494</v>
      </c>
      <c r="J189" s="1339"/>
      <c r="K189" s="1339"/>
      <c r="L189" s="1339"/>
      <c r="M189" s="1339"/>
      <c r="N189" s="1339"/>
      <c r="O189" s="1339"/>
      <c r="P189" s="1339"/>
      <c r="Q189" t="s">
        <v>582</v>
      </c>
      <c r="T189" s="1339" t="s">
        <v>494</v>
      </c>
      <c r="U189" s="1339"/>
      <c r="V189" s="1339"/>
      <c r="W189" s="1339"/>
      <c r="X189" s="1339"/>
      <c r="Y189" s="1339"/>
      <c r="Z189" s="1339"/>
      <c r="AA189" s="1339"/>
      <c r="AB189" s="1339"/>
      <c r="AC189" s="1339"/>
      <c r="AD189" s="1339"/>
      <c r="AE189" s="1339"/>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0">
        <v>2352</v>
      </c>
      <c r="CK189" s="1040">
        <v>2454</v>
      </c>
      <c r="CL189" s="1040">
        <v>2903</v>
      </c>
      <c r="CM189" s="1040">
        <v>3927</v>
      </c>
      <c r="CN189" s="1040">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583</v>
      </c>
      <c r="I190" s="1656">
        <v>91303</v>
      </c>
      <c r="J190" s="1656"/>
      <c r="K190" s="1656"/>
      <c r="L190" s="1656"/>
      <c r="M190" s="1656"/>
      <c r="N190" s="1656"/>
      <c r="O190" t="s">
        <v>585</v>
      </c>
      <c r="T190" s="1809">
        <v>1349.07</v>
      </c>
      <c r="U190" s="1809"/>
      <c r="V190" s="1809"/>
      <c r="W190" s="1809"/>
      <c r="X190" s="1809"/>
      <c r="Y190" s="1809"/>
      <c r="Z190" s="1809"/>
      <c r="AA190" s="1809"/>
      <c r="AB190" s="1809"/>
      <c r="AC190" s="1809"/>
      <c r="AD190" s="1809"/>
      <c r="AE190" s="1809"/>
      <c r="BC190" t="s">
        <v>1040</v>
      </c>
      <c r="BH190" t="s">
        <v>1040</v>
      </c>
      <c r="BN190" s="23" t="s">
        <v>635</v>
      </c>
      <c r="BS190">
        <v>6</v>
      </c>
      <c r="BT190" t="s">
        <v>68</v>
      </c>
      <c r="CB190" s="350" t="s">
        <v>65</v>
      </c>
      <c r="CC190" s="464">
        <v>2252</v>
      </c>
      <c r="CD190" s="465">
        <v>2412</v>
      </c>
      <c r="CE190" s="464">
        <v>2894</v>
      </c>
      <c r="CF190" s="465">
        <v>3342</v>
      </c>
      <c r="CG190" s="465">
        <v>3730</v>
      </c>
      <c r="CH190" s="466">
        <v>4116</v>
      </c>
      <c r="CI190" s="34"/>
      <c r="CJ190" s="1040">
        <v>1679</v>
      </c>
      <c r="CK190" s="1040">
        <v>1777</v>
      </c>
      <c r="CL190" s="1040">
        <v>2206</v>
      </c>
      <c r="CM190" s="1040">
        <v>2992</v>
      </c>
      <c r="CN190" s="1040">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462</v>
      </c>
      <c r="N191" s="1804" t="s">
        <v>2630</v>
      </c>
      <c r="O191" s="1805"/>
      <c r="P191" s="1805"/>
      <c r="Q191" s="1805"/>
      <c r="R191" s="1805"/>
      <c r="S191" s="1805"/>
      <c r="T191" s="1805"/>
      <c r="U191" s="1805"/>
      <c r="V191" s="1805"/>
      <c r="W191" s="1805"/>
      <c r="X191" s="1805"/>
      <c r="Y191" s="1805"/>
      <c r="Z191" s="1805"/>
      <c r="AA191" s="1805"/>
      <c r="AB191" s="1805"/>
      <c r="AC191" s="1805"/>
      <c r="AD191" s="1805"/>
      <c r="AE191" s="1805"/>
      <c r="BC191" t="s">
        <v>1039</v>
      </c>
      <c r="BH191" t="s">
        <v>1039</v>
      </c>
      <c r="BN191" s="23" t="s">
        <v>688</v>
      </c>
      <c r="BS191">
        <v>4</v>
      </c>
      <c r="BT191" t="s">
        <v>727</v>
      </c>
      <c r="CB191" s="350" t="s">
        <v>66</v>
      </c>
      <c r="CC191" s="464">
        <v>1670</v>
      </c>
      <c r="CD191" s="465">
        <v>1788</v>
      </c>
      <c r="CE191" s="464">
        <v>2144</v>
      </c>
      <c r="CF191" s="465">
        <v>2478</v>
      </c>
      <c r="CG191" s="465">
        <v>2764</v>
      </c>
      <c r="CH191" s="466">
        <v>3050</v>
      </c>
      <c r="CI191" s="34"/>
      <c r="CJ191" s="1040">
        <v>904</v>
      </c>
      <c r="CK191" s="1040">
        <v>1005</v>
      </c>
      <c r="CL191" s="1040">
        <v>1318</v>
      </c>
      <c r="CM191" s="1040">
        <v>1847</v>
      </c>
      <c r="CN191" s="1040">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81"/>
      <c r="O192" s="1781"/>
      <c r="P192" s="1781"/>
      <c r="Q192" s="1781"/>
      <c r="R192" s="1781"/>
      <c r="S192" s="1781"/>
      <c r="T192" s="1781"/>
      <c r="U192" s="1781"/>
      <c r="V192" s="1781"/>
      <c r="W192" s="1781"/>
      <c r="X192" s="1781"/>
      <c r="Y192" s="1781"/>
      <c r="Z192" s="1781"/>
      <c r="AA192" s="1781"/>
      <c r="AB192" s="1781"/>
      <c r="AC192" s="1781"/>
      <c r="AD192" s="1781"/>
      <c r="AE192" s="1781"/>
      <c r="BC192" t="s">
        <v>1042</v>
      </c>
      <c r="BH192" s="3" t="s">
        <v>1363</v>
      </c>
      <c r="BN192" s="23" t="s">
        <v>689</v>
      </c>
      <c r="BS192">
        <v>5</v>
      </c>
      <c r="BT192" t="s">
        <v>728</v>
      </c>
      <c r="CB192" s="350" t="s">
        <v>67</v>
      </c>
      <c r="CC192" s="464">
        <v>1960</v>
      </c>
      <c r="CD192" s="465">
        <v>2098</v>
      </c>
      <c r="CE192" s="464">
        <v>2516</v>
      </c>
      <c r="CF192" s="465">
        <v>2910</v>
      </c>
      <c r="CG192" s="465">
        <v>3244</v>
      </c>
      <c r="CH192" s="466">
        <v>3580</v>
      </c>
      <c r="CI192" s="34"/>
      <c r="CJ192" s="1040">
        <v>1776</v>
      </c>
      <c r="CK192" s="1040">
        <v>1852</v>
      </c>
      <c r="CL192" s="1040">
        <v>2306</v>
      </c>
      <c r="CM192" s="1040">
        <v>3079</v>
      </c>
      <c r="CN192" s="1040">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2081</v>
      </c>
      <c r="M193" s="40"/>
      <c r="N193" s="894"/>
      <c r="O193" s="894"/>
      <c r="P193" s="894"/>
      <c r="Q193" s="894"/>
      <c r="R193" s="894"/>
      <c r="S193" s="894"/>
      <c r="T193" s="1794" t="s">
        <v>2213</v>
      </c>
      <c r="U193" s="1794"/>
      <c r="V193" s="1794"/>
      <c r="W193" s="1794"/>
      <c r="X193" s="1794"/>
      <c r="Y193" s="1794"/>
      <c r="Z193" s="1794"/>
      <c r="AA193" s="1794"/>
      <c r="AB193" s="1794"/>
      <c r="AC193" s="1794"/>
      <c r="AD193" s="1794"/>
      <c r="AE193" s="1794"/>
      <c r="AF193" s="1794"/>
      <c r="AG193" s="1794"/>
      <c r="AH193" s="1794"/>
      <c r="AI193" s="1794"/>
      <c r="BC193" t="s">
        <v>1041</v>
      </c>
      <c r="BH193" s="3" t="s">
        <v>1628</v>
      </c>
      <c r="BN193" s="23" t="s">
        <v>690</v>
      </c>
      <c r="BS193">
        <v>4</v>
      </c>
      <c r="BT193" t="s">
        <v>729</v>
      </c>
      <c r="CB193" s="350" t="s">
        <v>68</v>
      </c>
      <c r="CC193" s="464">
        <v>2252</v>
      </c>
      <c r="CD193" s="465">
        <v>2412</v>
      </c>
      <c r="CE193" s="464">
        <v>2894</v>
      </c>
      <c r="CF193" s="465">
        <v>3342</v>
      </c>
      <c r="CG193" s="465">
        <v>3730</v>
      </c>
      <c r="CH193" s="466">
        <v>4116</v>
      </c>
      <c r="CI193" s="34"/>
      <c r="CJ193" s="1040">
        <v>1679</v>
      </c>
      <c r="CK193" s="1040">
        <v>1777</v>
      </c>
      <c r="CL193" s="1040">
        <v>2206</v>
      </c>
      <c r="CM193" s="1040">
        <v>2992</v>
      </c>
      <c r="CN193" s="1040">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2215</v>
      </c>
      <c r="M194" s="40"/>
      <c r="N194" s="894"/>
      <c r="O194" s="894"/>
      <c r="P194" s="894"/>
      <c r="Q194" s="894"/>
      <c r="R194" s="894"/>
      <c r="S194" s="894"/>
      <c r="AH194" s="1331" t="s">
        <v>669</v>
      </c>
      <c r="AI194" s="1331"/>
      <c r="BC194" t="s">
        <v>1363</v>
      </c>
      <c r="BN194" s="23" t="s">
        <v>691</v>
      </c>
      <c r="BS194">
        <v>2</v>
      </c>
      <c r="BT194" t="s">
        <v>730</v>
      </c>
      <c r="CB194" s="350" t="s">
        <v>727</v>
      </c>
      <c r="CC194" s="464">
        <v>2340</v>
      </c>
      <c r="CD194" s="465">
        <v>2506</v>
      </c>
      <c r="CE194" s="464">
        <v>3006</v>
      </c>
      <c r="CF194" s="465">
        <v>3472</v>
      </c>
      <c r="CG194" s="465">
        <v>3874</v>
      </c>
      <c r="CH194" s="466">
        <v>4276</v>
      </c>
      <c r="CI194" s="34"/>
      <c r="CJ194" s="1040">
        <v>1799</v>
      </c>
      <c r="CK194" s="1040">
        <v>1999</v>
      </c>
      <c r="CL194" s="1040">
        <v>2623</v>
      </c>
      <c r="CM194" s="1040">
        <v>3655</v>
      </c>
      <c r="CN194" s="1040">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331</v>
      </c>
      <c r="T195" s="1331" t="s">
        <v>545</v>
      </c>
      <c r="U195" s="1331"/>
      <c r="W195" t="s">
        <v>684</v>
      </c>
      <c r="AH195" s="1331">
        <v>32</v>
      </c>
      <c r="AI195" s="1331"/>
      <c r="BC195" t="s">
        <v>1856</v>
      </c>
      <c r="BN195" s="23" t="s">
        <v>242</v>
      </c>
      <c r="BS195">
        <v>6</v>
      </c>
      <c r="BT195" t="s">
        <v>731</v>
      </c>
      <c r="CB195" s="350" t="s">
        <v>728</v>
      </c>
      <c r="CC195" s="464">
        <v>1960</v>
      </c>
      <c r="CD195" s="465">
        <v>2098</v>
      </c>
      <c r="CE195" s="464">
        <v>2516</v>
      </c>
      <c r="CF195" s="465">
        <v>2910</v>
      </c>
      <c r="CG195" s="465">
        <v>3244</v>
      </c>
      <c r="CH195" s="466">
        <v>3580</v>
      </c>
      <c r="CI195" s="34"/>
      <c r="CJ195" s="1040">
        <v>1776</v>
      </c>
      <c r="CK195" s="1040">
        <v>1852</v>
      </c>
      <c r="CL195" s="1040">
        <v>2306</v>
      </c>
      <c r="CM195" s="1040">
        <v>3079</v>
      </c>
      <c r="CN195" s="1040">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386</v>
      </c>
      <c r="T196" s="1376" t="s">
        <v>669</v>
      </c>
      <c r="U196" s="1376"/>
      <c r="W196" t="s">
        <v>685</v>
      </c>
      <c r="AH196" s="1331">
        <v>46</v>
      </c>
      <c r="AI196" s="1331"/>
      <c r="BN196" s="23" t="s">
        <v>243</v>
      </c>
      <c r="BS196">
        <v>4</v>
      </c>
      <c r="BT196" t="s">
        <v>69</v>
      </c>
      <c r="CB196" s="350" t="s">
        <v>729</v>
      </c>
      <c r="CC196" s="464">
        <v>2894</v>
      </c>
      <c r="CD196" s="465">
        <v>3100</v>
      </c>
      <c r="CE196" s="464">
        <v>3722</v>
      </c>
      <c r="CF196" s="465">
        <v>4300</v>
      </c>
      <c r="CG196" s="465">
        <v>4796</v>
      </c>
      <c r="CH196" s="466">
        <v>5292</v>
      </c>
      <c r="CI196" s="34"/>
      <c r="CJ196" s="1040">
        <v>2145</v>
      </c>
      <c r="CK196" s="1040">
        <v>2328</v>
      </c>
      <c r="CL196" s="1040">
        <v>2881</v>
      </c>
      <c r="CM196" s="1040">
        <v>3852</v>
      </c>
      <c r="CN196" s="1040">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169</v>
      </c>
      <c r="T197" s="1376" t="s">
        <v>669</v>
      </c>
      <c r="U197" s="1376"/>
      <c r="W197" t="s">
        <v>686</v>
      </c>
      <c r="AH197" s="1331">
        <v>27</v>
      </c>
      <c r="AI197" s="1331"/>
      <c r="BC197" t="s">
        <v>307</v>
      </c>
      <c r="BN197" s="23" t="s">
        <v>244</v>
      </c>
      <c r="BS197">
        <v>2</v>
      </c>
      <c r="BT197" t="s">
        <v>70</v>
      </c>
      <c r="CB197" s="350" t="s">
        <v>730</v>
      </c>
      <c r="CC197" s="464">
        <v>3384</v>
      </c>
      <c r="CD197" s="465">
        <v>3626</v>
      </c>
      <c r="CE197" s="464">
        <v>4352</v>
      </c>
      <c r="CF197" s="465">
        <v>5028</v>
      </c>
      <c r="CG197" s="465">
        <v>5610</v>
      </c>
      <c r="CH197" s="466">
        <v>6190</v>
      </c>
      <c r="CI197" s="34"/>
      <c r="CJ197" s="1040">
        <v>2275</v>
      </c>
      <c r="CK197" s="1040">
        <v>2780</v>
      </c>
      <c r="CL197" s="1040">
        <v>3318</v>
      </c>
      <c r="CM197" s="1040">
        <v>4138</v>
      </c>
      <c r="CN197" s="1040">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1651</v>
      </c>
      <c r="E198"/>
      <c r="F198"/>
      <c r="G198"/>
      <c r="H198"/>
      <c r="I198"/>
      <c r="J198"/>
      <c r="K198"/>
      <c r="L198"/>
      <c r="M198"/>
      <c r="N198"/>
      <c r="O198"/>
      <c r="P198"/>
      <c r="Q198"/>
      <c r="R198"/>
      <c r="S198"/>
      <c r="T198" s="1376">
        <v>0</v>
      </c>
      <c r="U198" s="1376"/>
      <c r="V198"/>
      <c r="X198" s="1415" t="s">
        <v>2514</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2517</v>
      </c>
      <c r="E199"/>
      <c r="F199"/>
      <c r="G199"/>
      <c r="H199"/>
      <c r="I199"/>
      <c r="J199"/>
      <c r="K199"/>
      <c r="L199"/>
      <c r="M199"/>
      <c r="N199"/>
      <c r="O199"/>
      <c r="P199"/>
      <c r="Q199"/>
      <c r="R199"/>
      <c r="S199"/>
      <c r="T199" s="1331" t="s">
        <v>669</v>
      </c>
      <c r="U199" s="1331"/>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2515</v>
      </c>
      <c r="T200" s="1331" t="s">
        <v>669</v>
      </c>
      <c r="U200" s="1331"/>
      <c r="V200"/>
      <c r="W200"/>
      <c r="X200"/>
      <c r="Y200"/>
      <c r="AA200"/>
      <c r="AB200" s="1249"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2516</v>
      </c>
      <c r="V201"/>
      <c r="X201"/>
      <c r="Y201"/>
      <c r="Z201"/>
      <c r="AB201" s="1249" t="s">
        <v>919</v>
      </c>
      <c r="AC201"/>
      <c r="AH201" s="1"/>
      <c r="AJ201"/>
      <c r="AK201"/>
      <c r="AL201"/>
      <c r="AM201"/>
      <c r="AN201"/>
      <c r="AO201"/>
      <c r="AP201"/>
      <c r="AQ201"/>
      <c r="AR201"/>
      <c r="AS201"/>
      <c r="AU201"/>
      <c r="AV201"/>
      <c r="AW201"/>
      <c r="AX201"/>
      <c r="AY201"/>
      <c r="AZ201" s="30"/>
      <c r="BA201" s="30"/>
      <c r="BC201" s="3" t="s">
        <v>1060</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1061</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85" t="s">
        <v>385</v>
      </c>
      <c r="E204" s="1385"/>
      <c r="F204" s="1385"/>
      <c r="G204" s="1385"/>
      <c r="H204" s="1385"/>
      <c r="I204" s="1385"/>
      <c r="J204" s="1385"/>
      <c r="K204" s="1385"/>
      <c r="L204" s="1385"/>
      <c r="M204" s="1385"/>
      <c r="P204" s="1820">
        <f>M26</f>
        <v>5922079</v>
      </c>
      <c r="Q204" s="1801"/>
      <c r="R204" s="1801"/>
      <c r="S204" s="1801"/>
      <c r="T204" s="1801"/>
      <c r="U204" s="1801"/>
      <c r="BC204" t="s">
        <v>1062</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27" t="s">
        <v>1246</v>
      </c>
      <c r="E205" s="1385"/>
      <c r="F205" s="1385"/>
      <c r="G205" s="1385"/>
      <c r="H205" s="1385"/>
      <c r="I205" s="1385"/>
      <c r="J205" s="1385"/>
      <c r="K205" s="1385"/>
      <c r="L205" s="1385"/>
      <c r="M205" s="1385"/>
      <c r="P205" s="1801">
        <f>M27</f>
        <v>0</v>
      </c>
      <c r="Q205" s="1801"/>
      <c r="R205" s="1801"/>
      <c r="S205" s="1801"/>
      <c r="T205" s="1801"/>
      <c r="U205" s="1801"/>
      <c r="V205" s="28"/>
      <c r="W205" s="3" t="s">
        <v>1719</v>
      </c>
      <c r="Z205" s="1825" t="s">
        <v>1183</v>
      </c>
      <c r="AA205" s="1825"/>
      <c r="AB205" s="1825"/>
      <c r="AC205" s="1825"/>
      <c r="AD205" s="1825"/>
      <c r="AE205" s="1825"/>
      <c r="AF205" s="1825"/>
      <c r="AG205" s="1825"/>
      <c r="AH205" s="1825"/>
      <c r="AI205" s="1825"/>
      <c r="AJ205" s="1825"/>
      <c r="AK205" s="1825"/>
      <c r="AL205" s="1825"/>
      <c r="AM205" s="1825"/>
      <c r="AN205" s="1825"/>
      <c r="AP205" s="1334"/>
      <c r="AQ205" s="1334"/>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1025</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1063</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19" t="s">
        <v>2631</v>
      </c>
      <c r="E208" s="1419"/>
      <c r="F208" s="1419"/>
      <c r="G208" s="1419"/>
      <c r="H208" s="1419"/>
      <c r="I208" s="1419"/>
      <c r="J208" s="1419"/>
      <c r="K208" s="1419"/>
      <c r="L208" s="1419"/>
      <c r="M208" s="1419"/>
      <c r="BC208" s="3" t="s">
        <v>2206</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1064</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9" t="s">
        <v>1856</v>
      </c>
      <c r="E211" s="1419"/>
      <c r="F211" s="1419"/>
      <c r="G211" s="1419"/>
      <c r="H211" s="1419"/>
      <c r="I211" s="1419"/>
      <c r="J211" s="1419"/>
      <c r="K211" s="1419"/>
      <c r="L211" s="1419"/>
      <c r="M211" s="1419"/>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2231</v>
      </c>
      <c r="Q212" s="1331">
        <v>0</v>
      </c>
      <c r="R212" s="1331"/>
      <c r="T212" s="1799">
        <f>IFERROR(Q212/AG440,0)</f>
        <v>0</v>
      </c>
      <c r="U212" s="1800"/>
      <c r="BC212" t="s">
        <v>307</v>
      </c>
      <c r="BI212" t="s">
        <v>1183</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4" t="s">
        <v>2474</v>
      </c>
      <c r="BC213" t="s">
        <v>526</v>
      </c>
      <c r="BI213" s="3" t="s">
        <v>2228</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17" t="s">
        <v>591</v>
      </c>
      <c r="E214" s="1817"/>
      <c r="F214" s="1817"/>
      <c r="G214" s="1817"/>
      <c r="H214" s="1817"/>
      <c r="I214" s="1817"/>
      <c r="J214" s="1817"/>
      <c r="K214" s="1817"/>
      <c r="L214" s="1817"/>
      <c r="M214" s="1817"/>
      <c r="N214" s="1817"/>
      <c r="O214" s="1817"/>
      <c r="P214" s="1817"/>
      <c r="Q214" s="1817"/>
      <c r="R214" s="1817"/>
      <c r="S214" s="1817"/>
      <c r="T214" s="1817"/>
      <c r="U214" s="1817"/>
      <c r="V214" s="1817"/>
      <c r="W214" s="1817"/>
      <c r="X214" s="1817"/>
      <c r="Y214" s="1817"/>
      <c r="Z214" s="1817"/>
      <c r="AU214" s="21"/>
      <c r="AV214" s="21"/>
      <c r="AW214" s="21"/>
      <c r="AX214" s="21"/>
      <c r="AY214" s="21"/>
      <c r="BC214" t="s">
        <v>530</v>
      </c>
      <c r="BI214" s="3" t="s">
        <v>2220</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1652</v>
      </c>
      <c r="Z215" s="40"/>
      <c r="AB215" s="1816"/>
      <c r="AC215" s="1816"/>
      <c r="AD215" s="1816"/>
      <c r="AE215" s="1816"/>
      <c r="AF215" s="1816"/>
      <c r="AG215" s="1816"/>
      <c r="AH215" s="1816"/>
      <c r="AI215" s="1816"/>
      <c r="AJ215" s="1816"/>
      <c r="AK215" s="1816"/>
      <c r="AL215" s="1816"/>
      <c r="AM215" s="21"/>
      <c r="AN215" s="21"/>
      <c r="AO215" s="21"/>
      <c r="AP215" s="21"/>
      <c r="AQ215" s="21"/>
      <c r="AR215" s="21"/>
      <c r="AS215" s="21"/>
      <c r="AT215" s="21"/>
      <c r="AU215" s="21"/>
      <c r="AV215" s="21"/>
      <c r="AW215" s="21"/>
      <c r="AX215" s="21"/>
      <c r="AY215" s="21"/>
      <c r="BC215" t="s">
        <v>527</v>
      </c>
      <c r="BI215" s="3" t="s">
        <v>2221</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1650</v>
      </c>
      <c r="Z216" s="40"/>
      <c r="AB216" s="1816"/>
      <c r="AC216" s="1816"/>
      <c r="AD216" s="1816"/>
      <c r="AE216" s="1816"/>
      <c r="AF216" s="1816"/>
      <c r="AG216" s="1816"/>
      <c r="AH216" s="1816"/>
      <c r="AI216" s="1816"/>
      <c r="AJ216" s="1816"/>
      <c r="AK216" s="1816"/>
      <c r="AL216" s="1816"/>
      <c r="AM216" s="21"/>
      <c r="AN216" s="21"/>
      <c r="AO216" s="21"/>
      <c r="AP216" s="21"/>
      <c r="AQ216" s="21"/>
      <c r="AR216" s="21"/>
      <c r="AS216" s="21"/>
      <c r="AT216" s="21"/>
      <c r="AU216" s="21"/>
      <c r="AV216" s="21"/>
      <c r="AW216" s="21"/>
      <c r="AX216" s="21"/>
      <c r="AY216" s="21"/>
      <c r="BC216" t="s">
        <v>566</v>
      </c>
      <c r="BI216" t="s">
        <v>2219</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2223</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592</v>
      </c>
      <c r="C218" s="2" t="s">
        <v>2234</v>
      </c>
      <c r="D218" s="28"/>
      <c r="AC218" s="2" t="s">
        <v>2463</v>
      </c>
      <c r="BC218" t="s">
        <v>529</v>
      </c>
    </row>
    <row r="219" spans="1:108" ht="12.95" customHeight="1">
      <c r="A219" s="2"/>
      <c r="C219" s="2"/>
      <c r="D219" s="3" t="s">
        <v>2464</v>
      </c>
      <c r="AZ219" s="3"/>
      <c r="BA219" s="3"/>
      <c r="BC219" t="s">
        <v>377</v>
      </c>
    </row>
    <row r="220" spans="1:108" ht="12.95" customHeight="1">
      <c r="A220" s="2"/>
      <c r="C220" s="2"/>
      <c r="D220" s="1419" t="s">
        <v>875</v>
      </c>
      <c r="E220" s="1419"/>
      <c r="F220" s="1419"/>
      <c r="G220" s="1419"/>
      <c r="H220" s="1419"/>
      <c r="I220" s="1419"/>
      <c r="J220" s="1419"/>
      <c r="K220" s="1419"/>
      <c r="L220" s="1419"/>
      <c r="M220" s="1419"/>
      <c r="N220" s="1419"/>
      <c r="O220" s="1419"/>
      <c r="P220" s="1419"/>
      <c r="Q220" s="1419"/>
      <c r="R220" s="1419"/>
      <c r="S220" s="1419"/>
      <c r="T220" s="1419"/>
      <c r="U220" s="1419"/>
      <c r="V220" s="1419"/>
      <c r="W220" s="1419"/>
      <c r="X220" s="1419"/>
      <c r="Y220" s="1419"/>
      <c r="Z220" s="1419"/>
      <c r="AC220" s="1826" t="s">
        <v>875</v>
      </c>
      <c r="AD220" s="1826"/>
      <c r="AE220" s="1826"/>
      <c r="AF220" s="1826"/>
      <c r="AG220" s="1826"/>
      <c r="AH220" s="1826"/>
      <c r="AI220" s="1826"/>
      <c r="AJ220" s="1826"/>
      <c r="AK220" s="1826"/>
      <c r="AL220" s="1826"/>
      <c r="AM220" s="1826"/>
      <c r="AN220" s="1826"/>
      <c r="AO220" s="1826"/>
      <c r="AP220" s="1826"/>
      <c r="AQ220" s="1826"/>
      <c r="BA220" s="3"/>
      <c r="BC220" t="s">
        <v>300</v>
      </c>
    </row>
    <row r="221" spans="1:108" ht="12.95" customHeight="1">
      <c r="A221" s="2"/>
      <c r="B221" s="14"/>
      <c r="C221" s="2"/>
      <c r="BA221" s="3"/>
    </row>
    <row r="222" spans="1:108" ht="12.95" customHeight="1">
      <c r="A222" s="1430" t="s">
        <v>540</v>
      </c>
      <c r="B222" s="1430"/>
      <c r="C222" s="1430"/>
      <c r="D222" s="1430"/>
      <c r="E222" s="1430"/>
      <c r="F222" s="1430"/>
      <c r="G222" s="1430"/>
      <c r="H222" s="1430"/>
      <c r="I222" s="1430"/>
      <c r="J222" s="1430"/>
      <c r="K222" s="1430"/>
      <c r="L222" s="1430"/>
      <c r="M222" s="1430"/>
      <c r="N222" s="1430"/>
      <c r="O222" s="1430"/>
      <c r="P222" s="1430"/>
      <c r="Q222" s="1430"/>
      <c r="R222" s="1430"/>
      <c r="S222" s="1430"/>
      <c r="T222" s="1430"/>
      <c r="U222" s="1430"/>
      <c r="V222" s="1430"/>
      <c r="W222" s="1430"/>
      <c r="X222" s="1430"/>
      <c r="Y222" s="1430"/>
      <c r="Z222" s="1430"/>
      <c r="AA222" s="1430"/>
      <c r="AB222" s="1430"/>
      <c r="AC222" s="1430"/>
      <c r="AD222" s="1430"/>
      <c r="AE222" s="1430"/>
      <c r="AF222" s="1430"/>
      <c r="AG222" s="1430"/>
      <c r="AH222" s="1430"/>
      <c r="AI222" s="1430"/>
      <c r="AJ222" s="1430"/>
      <c r="AK222" s="1430"/>
      <c r="AL222" s="1430"/>
      <c r="AM222" s="1430"/>
      <c r="AN222" s="1430"/>
      <c r="AO222" s="1430"/>
      <c r="AP222" s="1430"/>
      <c r="AQ222" s="1430"/>
      <c r="AR222" s="1430"/>
      <c r="AS222" s="1430"/>
      <c r="AT222" s="1430"/>
      <c r="AU222" s="95"/>
      <c r="AV222" s="95"/>
      <c r="AW222" s="95"/>
      <c r="AX222" s="95"/>
      <c r="AY222" s="95"/>
      <c r="AZ222" s="3"/>
      <c r="BA222" s="3"/>
      <c r="BP222" s="34"/>
    </row>
    <row r="223" spans="1:108" ht="12.95" customHeight="1">
      <c r="A223" s="1430"/>
      <c r="B223" s="1430"/>
      <c r="C223" s="1430"/>
      <c r="D223" s="1430"/>
      <c r="E223" s="1430"/>
      <c r="F223" s="1430"/>
      <c r="G223" s="1430"/>
      <c r="H223" s="1430"/>
      <c r="I223" s="1430"/>
      <c r="J223" s="1430"/>
      <c r="K223" s="1430"/>
      <c r="L223" s="1430"/>
      <c r="M223" s="1430"/>
      <c r="N223" s="1430"/>
      <c r="O223" s="1430"/>
      <c r="P223" s="1430"/>
      <c r="Q223" s="1430"/>
      <c r="R223" s="1430"/>
      <c r="S223" s="1430"/>
      <c r="T223" s="1430"/>
      <c r="U223" s="1430"/>
      <c r="V223" s="1430"/>
      <c r="W223" s="1430"/>
      <c r="X223" s="1430"/>
      <c r="Y223" s="1430"/>
      <c r="Z223" s="1430"/>
      <c r="AA223" s="1430"/>
      <c r="AB223" s="1430"/>
      <c r="AC223" s="1430"/>
      <c r="AD223" s="1430"/>
      <c r="AE223" s="1430"/>
      <c r="AF223" s="1430"/>
      <c r="AG223" s="1430"/>
      <c r="AH223" s="1430"/>
      <c r="AI223" s="1430"/>
      <c r="AJ223" s="1430"/>
      <c r="AK223" s="1430"/>
      <c r="AL223" s="1430"/>
      <c r="AM223" s="1430"/>
      <c r="AN223" s="1430"/>
      <c r="AO223" s="1430"/>
      <c r="AP223" s="1430"/>
      <c r="AQ223" s="1430"/>
      <c r="AR223" s="1430"/>
      <c r="AS223" s="1430"/>
      <c r="AT223" s="1430"/>
      <c r="BA223" s="3"/>
      <c r="BB223" s="3"/>
      <c r="BQ223" s="34"/>
    </row>
    <row r="224" spans="1:108" ht="12.95" customHeight="1">
      <c r="AZ224" s="4"/>
      <c r="BA224" s="3"/>
      <c r="BB224" s="3"/>
      <c r="BQ224" s="34"/>
    </row>
    <row r="225" spans="1:59" ht="12.95" customHeight="1">
      <c r="A225" s="2" t="s">
        <v>319</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1" t="s">
        <v>591</v>
      </c>
      <c r="AJ226" s="1331"/>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1" t="s">
        <v>545</v>
      </c>
      <c r="AJ227" s="1331"/>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1" t="s">
        <v>591</v>
      </c>
      <c r="AJ228" s="1331"/>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1" t="s">
        <v>591</v>
      </c>
      <c r="AJ229" s="1331"/>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810" t="str">
        <f>H16</f>
        <v>21010 Vanowen, LP</v>
      </c>
      <c r="N232" s="1810"/>
      <c r="O232" s="1810"/>
      <c r="P232" s="1810"/>
      <c r="Q232" s="1810"/>
      <c r="R232" s="1810"/>
      <c r="S232" s="1810"/>
      <c r="T232" s="1810"/>
      <c r="U232" s="1810"/>
      <c r="V232" s="1810"/>
      <c r="W232" s="1810"/>
      <c r="X232" s="1810"/>
      <c r="Y232" s="1810"/>
      <c r="Z232" s="1810"/>
      <c r="AA232" s="1810"/>
      <c r="AB232" s="1810"/>
      <c r="AC232" s="1810"/>
      <c r="AD232" s="1810"/>
      <c r="AE232" s="1810"/>
      <c r="AF232" s="1810"/>
      <c r="AG232" s="1810"/>
      <c r="AH232" s="1810"/>
      <c r="AI232" s="1810"/>
      <c r="AJ232" s="1810"/>
      <c r="AK232" s="1810"/>
      <c r="AZ232" s="4"/>
      <c r="BA232" s="3"/>
      <c r="BB232" s="205" t="s">
        <v>538</v>
      </c>
      <c r="BG232" s="241">
        <f>IF(AND(AND($M$249="nonprofit",$M$257="nonprofit",$M$265="for profit")),2,0)</f>
        <v>0</v>
      </c>
    </row>
    <row r="233" spans="1:59" ht="12.95" customHeight="1">
      <c r="D233" s="4" t="s">
        <v>85</v>
      </c>
      <c r="E233" s="4"/>
      <c r="F233" s="4"/>
      <c r="G233" s="4"/>
      <c r="H233" s="4"/>
      <c r="I233" s="4"/>
      <c r="J233" s="4"/>
      <c r="K233" s="4"/>
      <c r="M233" s="1418" t="s">
        <v>2632</v>
      </c>
      <c r="N233" s="1419"/>
      <c r="O233" s="1419"/>
      <c r="P233" s="1419"/>
      <c r="Q233" s="1419"/>
      <c r="R233" s="1419"/>
      <c r="S233" s="1419"/>
      <c r="T233" s="1419"/>
      <c r="U233" s="1419"/>
      <c r="V233" s="1419"/>
      <c r="W233" s="1419"/>
      <c r="X233" s="1419"/>
      <c r="Y233" s="1419"/>
      <c r="Z233" s="1419"/>
      <c r="AA233" s="1419"/>
      <c r="AB233" s="1419"/>
      <c r="AC233" s="1419"/>
      <c r="AD233" s="1419"/>
      <c r="AE233" s="1419"/>
      <c r="BB233" s="205" t="s">
        <v>538</v>
      </c>
      <c r="BG233" s="241">
        <f>IF(AND(AND($M$249="nonprofit",$M$257="for profit",$M$265="nonprofit")),2,0)</f>
        <v>0</v>
      </c>
    </row>
    <row r="234" spans="1:59" ht="12.95" customHeight="1">
      <c r="D234" s="4" t="s">
        <v>580</v>
      </c>
      <c r="E234" s="4"/>
      <c r="M234" s="1418" t="s">
        <v>494</v>
      </c>
      <c r="N234" s="1419"/>
      <c r="O234" s="1419"/>
      <c r="P234" s="1419"/>
      <c r="Q234" s="1419"/>
      <c r="R234" s="1419"/>
      <c r="S234" s="1419"/>
      <c r="T234" s="1419"/>
      <c r="V234" s="33" t="s">
        <v>86</v>
      </c>
      <c r="W234" s="1532" t="s">
        <v>2633</v>
      </c>
      <c r="X234" s="1441"/>
      <c r="Y234" s="4" t="s">
        <v>583</v>
      </c>
      <c r="AC234" s="1419">
        <v>90064</v>
      </c>
      <c r="AD234" s="1419"/>
      <c r="AE234" s="1419"/>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18" t="s">
        <v>2646</v>
      </c>
      <c r="N235" s="1419"/>
      <c r="O235" s="1419"/>
      <c r="P235" s="1419"/>
      <c r="Q235" s="1419"/>
      <c r="R235" s="1419"/>
      <c r="S235" s="1419"/>
      <c r="T235" s="1419"/>
      <c r="U235" s="1419"/>
      <c r="V235" s="1419"/>
      <c r="W235" s="1419"/>
      <c r="X235" s="1419"/>
      <c r="Y235" s="1419"/>
      <c r="Z235" s="1419"/>
      <c r="AA235" s="1419"/>
      <c r="AB235" s="1419"/>
      <c r="AC235" s="1419"/>
      <c r="AD235" s="1419"/>
      <c r="AE235" s="1419"/>
      <c r="AI235" s="4"/>
      <c r="AJ235" s="4"/>
      <c r="AK235" s="4"/>
      <c r="AL235" s="4"/>
      <c r="AM235" s="4"/>
      <c r="AN235" s="4"/>
      <c r="AO235" s="4"/>
      <c r="AP235" s="4"/>
      <c r="AQ235" s="4"/>
      <c r="AR235" s="4"/>
      <c r="AS235" s="4"/>
      <c r="AT235" s="4"/>
      <c r="BB235" s="205"/>
      <c r="BG235" s="204"/>
    </row>
    <row r="236" spans="1:59" ht="12.95" customHeight="1">
      <c r="D236" s="4" t="s">
        <v>88</v>
      </c>
      <c r="E236" s="4"/>
      <c r="F236" s="4"/>
      <c r="M236" s="1673" t="s">
        <v>2635</v>
      </c>
      <c r="N236" s="1410"/>
      <c r="O236" s="1410"/>
      <c r="P236" s="1410"/>
      <c r="Q236" s="1410"/>
      <c r="R236" s="1410"/>
      <c r="S236" s="4" t="s">
        <v>206</v>
      </c>
      <c r="T236" s="4"/>
      <c r="U236" s="1441">
        <v>121</v>
      </c>
      <c r="V236" s="1441"/>
      <c r="W236" s="1441"/>
      <c r="X236" s="4" t="s">
        <v>89</v>
      </c>
      <c r="Z236" s="1410" t="s">
        <v>2636</v>
      </c>
      <c r="AA236" s="1410"/>
      <c r="AB236" s="1410"/>
      <c r="AC236" s="1410"/>
      <c r="AD236" s="1410"/>
      <c r="AE236" s="1410"/>
      <c r="AU236" s="4"/>
      <c r="AV236" s="4"/>
      <c r="AW236" s="4"/>
      <c r="AX236" s="4"/>
      <c r="AY236" s="4"/>
      <c r="AZ236" s="4"/>
      <c r="BB236" s="204" t="s">
        <v>537</v>
      </c>
      <c r="BG236" s="241">
        <f>IF(AND(AND($M$249="nonprofit",$M$257="nonprofit",$M$265="(select one)")),1,0)</f>
        <v>0</v>
      </c>
    </row>
    <row r="237" spans="1:59" ht="12.95" customHeight="1">
      <c r="D237" s="4" t="s">
        <v>90</v>
      </c>
      <c r="E237" s="4"/>
      <c r="F237" s="4"/>
      <c r="M237" s="1787" t="s">
        <v>2647</v>
      </c>
      <c r="N237" s="1787"/>
      <c r="O237" s="1787"/>
      <c r="P237" s="1787"/>
      <c r="Q237" s="1787"/>
      <c r="R237" s="1787"/>
      <c r="S237" s="1787"/>
      <c r="T237" s="1787"/>
      <c r="U237" s="1787"/>
      <c r="V237" s="1787"/>
      <c r="W237" s="1787"/>
      <c r="X237" s="1787"/>
      <c r="Y237" s="1787"/>
      <c r="Z237" s="1787"/>
      <c r="AA237" s="1787"/>
      <c r="AB237" s="1787"/>
      <c r="AC237" s="1787"/>
      <c r="AD237" s="1787"/>
      <c r="AE237" s="1787"/>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656" t="s">
        <v>528</v>
      </c>
      <c r="N238" s="1656"/>
      <c r="O238" s="1656"/>
      <c r="P238" s="1656"/>
      <c r="Q238" s="1656"/>
      <c r="R238" s="1656"/>
      <c r="S238" s="1656"/>
      <c r="T238" s="1656"/>
      <c r="U238" s="204" t="s">
        <v>906</v>
      </c>
      <c r="V238" s="204"/>
      <c r="W238" s="204"/>
      <c r="X238" s="204"/>
      <c r="Y238" s="204"/>
      <c r="Z238" s="204"/>
      <c r="AA238" s="1783" t="s">
        <v>2616</v>
      </c>
      <c r="AB238" s="1784"/>
      <c r="AC238" s="1784"/>
      <c r="AD238" s="1784"/>
      <c r="AE238" s="1784"/>
      <c r="AF238" s="1784"/>
      <c r="AG238" s="1784"/>
      <c r="AH238" s="1784"/>
      <c r="AI238" s="1784"/>
      <c r="AJ238" s="1784"/>
      <c r="AK238" s="1784"/>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339"/>
      <c r="N239" s="1339"/>
      <c r="O239" s="1339"/>
      <c r="P239" s="1339"/>
      <c r="Q239" s="1339"/>
      <c r="R239" s="1339"/>
      <c r="S239" s="1339"/>
      <c r="T239" s="1339"/>
      <c r="U239" s="1339"/>
      <c r="V239" s="1339"/>
      <c r="W239" s="1339"/>
      <c r="X239" s="1339"/>
      <c r="Y239" s="1339"/>
      <c r="Z239" s="1339"/>
      <c r="AA239" s="1339"/>
      <c r="AB239" s="1339"/>
      <c r="AC239" s="1339"/>
      <c r="AD239" s="1339"/>
      <c r="AE239" s="1339"/>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1182</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1" t="s">
        <v>2617</v>
      </c>
      <c r="N243" s="1422"/>
      <c r="O243" s="1422"/>
      <c r="P243" s="1422"/>
      <c r="Q243" s="1422"/>
      <c r="R243" s="1422"/>
      <c r="S243" s="1422"/>
      <c r="T243" s="1422"/>
      <c r="U243" s="1422"/>
      <c r="V243" s="1422"/>
      <c r="W243" s="1422"/>
      <c r="X243" s="1422"/>
      <c r="Y243" s="1422"/>
      <c r="Z243" s="1422"/>
      <c r="AA243" s="1422"/>
      <c r="AB243" s="1422"/>
      <c r="AC243" s="1422"/>
      <c r="AD243" s="1422"/>
      <c r="AE243" s="1422"/>
      <c r="AF243" s="1422" t="s">
        <v>2618</v>
      </c>
      <c r="AG243" s="1422"/>
      <c r="AH243" s="1422"/>
      <c r="AI243" s="1422"/>
      <c r="AJ243" s="1422"/>
      <c r="AK243" s="1422"/>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9" t="s">
        <v>2632</v>
      </c>
      <c r="N244" s="1419"/>
      <c r="O244" s="1419"/>
      <c r="P244" s="1419"/>
      <c r="Q244" s="1419"/>
      <c r="R244" s="1419"/>
      <c r="S244" s="1419"/>
      <c r="T244" s="1419"/>
      <c r="U244" s="1419"/>
      <c r="V244" s="1419"/>
      <c r="W244" s="1419"/>
      <c r="X244" s="1419"/>
      <c r="Y244" s="1419"/>
      <c r="Z244" s="1419"/>
      <c r="AA244" s="1419"/>
      <c r="AB244" s="1419"/>
      <c r="AC244" s="1419"/>
      <c r="AD244" s="1419"/>
      <c r="AE244" s="1419"/>
      <c r="AF244" s="3" t="s">
        <v>1178</v>
      </c>
      <c r="AL244" s="4"/>
      <c r="AM244" s="4"/>
      <c r="AN244" s="4"/>
      <c r="AO244" s="4"/>
      <c r="AP244" s="4"/>
      <c r="AQ244" s="4"/>
      <c r="AR244" s="4"/>
      <c r="AS244" s="4"/>
      <c r="AT244" s="4"/>
      <c r="BB244" t="s">
        <v>307</v>
      </c>
      <c r="BG244">
        <v>1</v>
      </c>
      <c r="BH244" t="s">
        <v>534</v>
      </c>
    </row>
    <row r="245" spans="1:67" ht="12.95" customHeight="1">
      <c r="A245" s="19"/>
      <c r="B245" s="4"/>
      <c r="C245" s="4"/>
      <c r="D245" s="4" t="s">
        <v>580</v>
      </c>
      <c r="E245" s="4"/>
      <c r="M245" s="1418" t="s">
        <v>494</v>
      </c>
      <c r="N245" s="1419"/>
      <c r="O245" s="1419"/>
      <c r="P245" s="1419"/>
      <c r="Q245" s="1419"/>
      <c r="R245" s="1419"/>
      <c r="S245" s="1419"/>
      <c r="T245" s="1419"/>
      <c r="V245" s="33" t="s">
        <v>86</v>
      </c>
      <c r="W245" s="1532" t="s">
        <v>2633</v>
      </c>
      <c r="X245" s="1441"/>
      <c r="Y245" s="4" t="s">
        <v>583</v>
      </c>
      <c r="AC245" s="1419">
        <v>90064</v>
      </c>
      <c r="AD245" s="1419"/>
      <c r="AE245" s="1419"/>
      <c r="AF245" s="3" t="s">
        <v>1179</v>
      </c>
      <c r="AU245" s="4"/>
      <c r="AV245" s="4"/>
      <c r="AW245" s="4"/>
      <c r="AX245" s="4"/>
      <c r="AY245" s="4"/>
      <c r="BB245" s="4" t="s">
        <v>280</v>
      </c>
      <c r="BG245">
        <v>2</v>
      </c>
      <c r="BH245" t="s">
        <v>566</v>
      </c>
      <c r="BO245" s="239" t="str">
        <f>VLOOKUP(BG243,BG244:BH247,2,FALSE)</f>
        <v>Joint Venture</v>
      </c>
    </row>
    <row r="246" spans="1:67" ht="12.95" customHeight="1">
      <c r="A246" s="19"/>
      <c r="B246" s="4"/>
      <c r="C246" s="4"/>
      <c r="D246" s="4" t="s">
        <v>87</v>
      </c>
      <c r="E246" s="4"/>
      <c r="F246" s="4"/>
      <c r="G246" s="4"/>
      <c r="H246" s="4"/>
      <c r="I246" s="4"/>
      <c r="J246" s="4"/>
      <c r="K246" s="4"/>
      <c r="L246" s="19"/>
      <c r="M246" s="1418" t="s">
        <v>2648</v>
      </c>
      <c r="N246" s="1419"/>
      <c r="O246" s="1419"/>
      <c r="P246" s="1419"/>
      <c r="Q246" s="1419"/>
      <c r="R246" s="1419"/>
      <c r="S246" s="1419"/>
      <c r="T246" s="1419"/>
      <c r="U246" s="1419"/>
      <c r="V246" s="1419"/>
      <c r="W246" s="1419"/>
      <c r="X246" s="1419"/>
      <c r="Y246" s="1419"/>
      <c r="Z246" s="1419"/>
      <c r="AA246" s="1419"/>
      <c r="AB246" s="1419"/>
      <c r="AC246" s="1419"/>
      <c r="AD246" s="1419"/>
      <c r="AE246" s="1419"/>
      <c r="AH246" s="1791">
        <v>5.1000000000000004E-3</v>
      </c>
      <c r="AI246" s="1791"/>
      <c r="AJ246" s="1791"/>
      <c r="AK246" s="1791"/>
      <c r="AL246" s="4"/>
      <c r="AM246" s="4"/>
      <c r="AN246" s="4"/>
      <c r="AO246" s="4"/>
      <c r="AP246" s="4"/>
      <c r="AQ246" s="4"/>
      <c r="AR246" s="4"/>
      <c r="AS246" s="4"/>
      <c r="AT246" s="4"/>
      <c r="BB246" s="4" t="s">
        <v>173</v>
      </c>
      <c r="BG246">
        <v>3</v>
      </c>
      <c r="BH246" t="s">
        <v>536</v>
      </c>
      <c r="BN246" s="34"/>
    </row>
    <row r="247" spans="1:67" ht="12.95" customHeight="1">
      <c r="A247" s="19"/>
      <c r="B247" s="4"/>
      <c r="C247" s="4"/>
      <c r="D247" s="4" t="s">
        <v>88</v>
      </c>
      <c r="E247" s="4"/>
      <c r="F247" s="4"/>
      <c r="M247" s="1410" t="s">
        <v>2635</v>
      </c>
      <c r="N247" s="1410"/>
      <c r="O247" s="1410"/>
      <c r="P247" s="1410"/>
      <c r="Q247" s="1410"/>
      <c r="R247" s="1410"/>
      <c r="S247" s="4" t="s">
        <v>206</v>
      </c>
      <c r="T247" s="4"/>
      <c r="U247" s="1441">
        <v>121</v>
      </c>
      <c r="V247" s="1441"/>
      <c r="W247" s="1441"/>
      <c r="X247" s="4" t="s">
        <v>89</v>
      </c>
      <c r="Z247" s="1410" t="s">
        <v>2636</v>
      </c>
      <c r="AA247" s="1410"/>
      <c r="AB247" s="1410"/>
      <c r="AC247" s="1410"/>
      <c r="AD247" s="1410"/>
      <c r="AE247" s="1410"/>
      <c r="AU247" s="4"/>
      <c r="AV247" s="4"/>
      <c r="AW247" s="4"/>
      <c r="AX247" s="4"/>
      <c r="AY247" s="4"/>
      <c r="BG247">
        <v>0</v>
      </c>
      <c r="BH247" s="3" t="str">
        <f>""</f>
        <v/>
      </c>
      <c r="BN247" s="34"/>
    </row>
    <row r="248" spans="1:67" ht="12.95" customHeight="1">
      <c r="A248" s="19"/>
      <c r="B248" s="4"/>
      <c r="C248" s="4"/>
      <c r="D248" s="4" t="s">
        <v>90</v>
      </c>
      <c r="E248" s="4"/>
      <c r="F248" s="4"/>
      <c r="M248" s="1787" t="s">
        <v>2647</v>
      </c>
      <c r="N248" s="1787"/>
      <c r="O248" s="1787"/>
      <c r="P248" s="1787"/>
      <c r="Q248" s="1787"/>
      <c r="R248" s="1787"/>
      <c r="S248" s="1787"/>
      <c r="T248" s="1787"/>
      <c r="U248" s="1787"/>
      <c r="V248" s="1787"/>
      <c r="W248" s="1787"/>
      <c r="X248" s="1787"/>
      <c r="Y248" s="1787"/>
      <c r="Z248" s="1787"/>
      <c r="AA248" s="1787"/>
      <c r="AB248" s="1787"/>
      <c r="AC248" s="1787"/>
      <c r="AD248" s="1787"/>
      <c r="AE248" s="1787"/>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656" t="s">
        <v>536</v>
      </c>
      <c r="N249" s="1656"/>
      <c r="O249" s="1656"/>
      <c r="P249" s="1656"/>
      <c r="Q249" s="1656"/>
      <c r="R249" s="1656"/>
      <c r="S249" s="1656"/>
      <c r="T249" s="1656"/>
      <c r="U249" s="204" t="s">
        <v>906</v>
      </c>
      <c r="V249" s="204"/>
      <c r="W249" s="204"/>
      <c r="X249" s="204"/>
      <c r="Y249" s="204"/>
      <c r="Z249" s="204"/>
      <c r="AA249" s="1783" t="s">
        <v>2619</v>
      </c>
      <c r="AB249" s="1784"/>
      <c r="AC249" s="1784"/>
      <c r="AD249" s="1784"/>
      <c r="AE249" s="1784"/>
      <c r="AF249" s="1784"/>
      <c r="AG249" s="1784"/>
      <c r="AH249" s="1784"/>
      <c r="AI249" s="1784"/>
      <c r="AJ249" s="1784"/>
      <c r="AK249" s="1784"/>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21" t="s">
        <v>2639</v>
      </c>
      <c r="N251" s="1422"/>
      <c r="O251" s="1422"/>
      <c r="P251" s="1422"/>
      <c r="Q251" s="1422"/>
      <c r="R251" s="1422"/>
      <c r="S251" s="1422"/>
      <c r="T251" s="1422"/>
      <c r="U251" s="1422"/>
      <c r="V251" s="1422"/>
      <c r="W251" s="1422"/>
      <c r="X251" s="1422"/>
      <c r="Y251" s="1422"/>
      <c r="Z251" s="1422"/>
      <c r="AA251" s="1422"/>
      <c r="AB251" s="1422"/>
      <c r="AC251" s="1422"/>
      <c r="AD251" s="1422"/>
      <c r="AE251" s="1422"/>
      <c r="AF251" s="1422" t="s">
        <v>2702</v>
      </c>
      <c r="AG251" s="1422"/>
      <c r="AH251" s="1422"/>
      <c r="AI251" s="1422"/>
      <c r="AJ251" s="1422"/>
      <c r="AK251" s="1422"/>
      <c r="AU251" s="4"/>
      <c r="AV251" s="4"/>
      <c r="AW251" s="4"/>
      <c r="AX251" s="4"/>
      <c r="AY251" s="4"/>
      <c r="BN251" s="34"/>
    </row>
    <row r="252" spans="1:67" ht="12.95" customHeight="1">
      <c r="A252" s="19"/>
      <c r="B252" s="4"/>
      <c r="C252" s="4"/>
      <c r="D252" s="4" t="s">
        <v>85</v>
      </c>
      <c r="E252" s="4"/>
      <c r="F252" s="4"/>
      <c r="G252" s="4"/>
      <c r="H252" s="4"/>
      <c r="I252" s="4"/>
      <c r="J252" s="4"/>
      <c r="K252" s="4"/>
      <c r="L252" s="4"/>
      <c r="M252" s="1418" t="s">
        <v>2641</v>
      </c>
      <c r="N252" s="1419"/>
      <c r="O252" s="1419"/>
      <c r="P252" s="1419"/>
      <c r="Q252" s="1419"/>
      <c r="R252" s="1419"/>
      <c r="S252" s="1419"/>
      <c r="T252" s="1419"/>
      <c r="U252" s="1419"/>
      <c r="V252" s="1419"/>
      <c r="W252" s="1419"/>
      <c r="X252" s="1419"/>
      <c r="Y252" s="1419"/>
      <c r="Z252" s="1419"/>
      <c r="AA252" s="1419"/>
      <c r="AB252" s="1419"/>
      <c r="AC252" s="1419"/>
      <c r="AD252" s="1419"/>
      <c r="AE252" s="1419"/>
      <c r="AF252" s="3" t="s">
        <v>1178</v>
      </c>
      <c r="AL252" s="4"/>
      <c r="AM252" s="4"/>
      <c r="AN252" s="4"/>
      <c r="AO252" s="4"/>
      <c r="AP252" s="4"/>
      <c r="AQ252" s="4"/>
      <c r="AR252" s="4"/>
      <c r="AS252" s="4"/>
      <c r="AT252" s="4"/>
      <c r="BN252" s="34"/>
    </row>
    <row r="253" spans="1:67" ht="12.95" customHeight="1">
      <c r="A253" s="19"/>
      <c r="B253" s="4"/>
      <c r="C253" s="4"/>
      <c r="D253" s="4" t="s">
        <v>580</v>
      </c>
      <c r="E253" s="4"/>
      <c r="M253" s="1418" t="s">
        <v>2642</v>
      </c>
      <c r="N253" s="1419"/>
      <c r="O253" s="1419"/>
      <c r="P253" s="1419"/>
      <c r="Q253" s="1419"/>
      <c r="R253" s="1419"/>
      <c r="S253" s="1419"/>
      <c r="T253" s="1419"/>
      <c r="V253" s="33" t="s">
        <v>86</v>
      </c>
      <c r="W253" s="1532" t="s">
        <v>1620</v>
      </c>
      <c r="X253" s="1441"/>
      <c r="Y253" s="4" t="s">
        <v>583</v>
      </c>
      <c r="AC253" s="1419">
        <v>97703</v>
      </c>
      <c r="AD253" s="1419"/>
      <c r="AE253" s="1419"/>
      <c r="AF253" s="3" t="s">
        <v>1179</v>
      </c>
      <c r="AU253" s="4"/>
      <c r="AV253" s="4"/>
      <c r="AW253" s="4"/>
      <c r="AX253" s="4"/>
      <c r="AY253" s="4"/>
      <c r="BN253" s="34"/>
    </row>
    <row r="254" spans="1:67" ht="12.95" customHeight="1">
      <c r="A254" s="19"/>
      <c r="B254" s="4"/>
      <c r="C254" s="4"/>
      <c r="D254" s="4" t="s">
        <v>87</v>
      </c>
      <c r="E254" s="4"/>
      <c r="F254" s="4"/>
      <c r="G254" s="4"/>
      <c r="H254" s="4"/>
      <c r="I254" s="4"/>
      <c r="J254" s="4"/>
      <c r="K254" s="4"/>
      <c r="L254" s="19"/>
      <c r="M254" s="1418" t="s">
        <v>2643</v>
      </c>
      <c r="N254" s="1419"/>
      <c r="O254" s="1419"/>
      <c r="P254" s="1419"/>
      <c r="Q254" s="1419"/>
      <c r="R254" s="1419"/>
      <c r="S254" s="1419"/>
      <c r="T254" s="1419"/>
      <c r="U254" s="1419"/>
      <c r="V254" s="1419"/>
      <c r="W254" s="1419"/>
      <c r="X254" s="1419"/>
      <c r="Y254" s="1419"/>
      <c r="Z254" s="1419"/>
      <c r="AA254" s="1419"/>
      <c r="AB254" s="1419"/>
      <c r="AC254" s="1419"/>
      <c r="AD254" s="1419"/>
      <c r="AE254" s="1419"/>
      <c r="AH254" s="1791">
        <v>4.8999999999999998E-3</v>
      </c>
      <c r="AI254" s="1791"/>
      <c r="AJ254" s="1791"/>
      <c r="AK254" s="1791"/>
      <c r="AL254" s="4"/>
      <c r="AM254" s="4"/>
      <c r="AN254" s="4"/>
      <c r="AO254" s="4"/>
      <c r="AP254" s="4"/>
      <c r="AQ254" s="4"/>
      <c r="AR254" s="4"/>
      <c r="AS254" s="4"/>
      <c r="AT254" s="4"/>
    </row>
    <row r="255" spans="1:67" ht="12.95" customHeight="1">
      <c r="A255" s="19"/>
      <c r="B255" s="4"/>
      <c r="C255" s="4"/>
      <c r="D255" s="4" t="s">
        <v>88</v>
      </c>
      <c r="E255" s="4"/>
      <c r="F255" s="4"/>
      <c r="M255" s="1673" t="s">
        <v>2644</v>
      </c>
      <c r="N255" s="1410"/>
      <c r="O255" s="1410"/>
      <c r="P255" s="1410"/>
      <c r="Q255" s="1410"/>
      <c r="R255" s="1410"/>
      <c r="S255" s="4" t="s">
        <v>206</v>
      </c>
      <c r="T255" s="4"/>
      <c r="U255" s="1441"/>
      <c r="V255" s="1441"/>
      <c r="W255" s="1441"/>
      <c r="X255" s="4" t="s">
        <v>89</v>
      </c>
      <c r="Z255" s="1410"/>
      <c r="AA255" s="1410"/>
      <c r="AB255" s="1410"/>
      <c r="AC255" s="1410"/>
      <c r="AD255" s="1410"/>
      <c r="AE255" s="1410"/>
      <c r="AU255" s="4"/>
      <c r="AV255" s="4"/>
      <c r="AW255" s="4"/>
      <c r="AX255" s="4"/>
      <c r="AY255" s="4"/>
      <c r="BN255" s="34"/>
    </row>
    <row r="256" spans="1:67" ht="12.95" customHeight="1">
      <c r="A256" s="19"/>
      <c r="B256" s="4"/>
      <c r="C256" s="4"/>
      <c r="D256" s="4" t="s">
        <v>90</v>
      </c>
      <c r="E256" s="4"/>
      <c r="F256" s="4"/>
      <c r="M256" s="1787" t="s">
        <v>2640</v>
      </c>
      <c r="N256" s="1787"/>
      <c r="O256" s="1787"/>
      <c r="P256" s="1787"/>
      <c r="Q256" s="1787"/>
      <c r="R256" s="1787"/>
      <c r="S256" s="1787"/>
      <c r="T256" s="1787"/>
      <c r="U256" s="1787"/>
      <c r="V256" s="1787"/>
      <c r="W256" s="1787"/>
      <c r="X256" s="1787"/>
      <c r="Y256" s="1787"/>
      <c r="Z256" s="1787"/>
      <c r="AA256" s="1787"/>
      <c r="AB256" s="1787"/>
      <c r="AC256" s="1787"/>
      <c r="AD256" s="1787"/>
      <c r="AE256" s="1787"/>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656" t="s">
        <v>534</v>
      </c>
      <c r="N257" s="1656"/>
      <c r="O257" s="1656"/>
      <c r="P257" s="1656"/>
      <c r="Q257" s="1656"/>
      <c r="R257" s="1656"/>
      <c r="S257" s="1656"/>
      <c r="T257" s="1656"/>
      <c r="U257" s="204" t="s">
        <v>906</v>
      </c>
      <c r="V257" s="204"/>
      <c r="W257" s="204"/>
      <c r="X257" s="204"/>
      <c r="Y257" s="204"/>
      <c r="Z257" s="204"/>
      <c r="AA257" s="1783" t="s">
        <v>2638</v>
      </c>
      <c r="AB257" s="1784"/>
      <c r="AC257" s="1784"/>
      <c r="AD257" s="1784"/>
      <c r="AE257" s="1784"/>
      <c r="AF257" s="1784"/>
      <c r="AG257" s="1784"/>
      <c r="AH257" s="1784"/>
      <c r="AI257" s="1784"/>
      <c r="AJ257" s="1784"/>
      <c r="AK257" s="1784"/>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21"/>
      <c r="N259" s="1422"/>
      <c r="O259" s="1422"/>
      <c r="P259" s="1422"/>
      <c r="Q259" s="1422"/>
      <c r="R259" s="1422"/>
      <c r="S259" s="1422"/>
      <c r="T259" s="1422"/>
      <c r="U259" s="1422"/>
      <c r="V259" s="1422"/>
      <c r="W259" s="1422"/>
      <c r="X259" s="1422"/>
      <c r="Y259" s="1422"/>
      <c r="Z259" s="1422"/>
      <c r="AA259" s="1422"/>
      <c r="AB259" s="1422"/>
      <c r="AC259" s="1422"/>
      <c r="AD259" s="1422"/>
      <c r="AE259" s="1422"/>
      <c r="AF259" s="1422" t="s">
        <v>307</v>
      </c>
      <c r="AG259" s="1422"/>
      <c r="AH259" s="1422"/>
      <c r="AI259" s="1422"/>
      <c r="AJ259" s="1422"/>
      <c r="AK259" s="1422"/>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9"/>
      <c r="N260" s="1419"/>
      <c r="O260" s="1419"/>
      <c r="P260" s="1419"/>
      <c r="Q260" s="1419"/>
      <c r="R260" s="1419"/>
      <c r="S260" s="1419"/>
      <c r="T260" s="1419"/>
      <c r="U260" s="1419"/>
      <c r="V260" s="1419"/>
      <c r="W260" s="1419"/>
      <c r="X260" s="1419"/>
      <c r="Y260" s="1419"/>
      <c r="Z260" s="1419"/>
      <c r="AA260" s="1419"/>
      <c r="AB260" s="1419"/>
      <c r="AC260" s="1419"/>
      <c r="AD260" s="1419"/>
      <c r="AE260" s="1419"/>
      <c r="AF260" s="3" t="s">
        <v>1178</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19"/>
      <c r="N261" s="1419"/>
      <c r="O261" s="1419"/>
      <c r="P261" s="1419"/>
      <c r="Q261" s="1419"/>
      <c r="R261" s="1419"/>
      <c r="S261" s="1419"/>
      <c r="T261" s="1419"/>
      <c r="V261" s="33" t="s">
        <v>86</v>
      </c>
      <c r="W261" s="1441"/>
      <c r="X261" s="1441"/>
      <c r="Y261" s="4" t="s">
        <v>583</v>
      </c>
      <c r="AC261" s="1419"/>
      <c r="AD261" s="1419"/>
      <c r="AE261" s="1419"/>
      <c r="AF261" s="3" t="s">
        <v>1179</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9"/>
      <c r="N262" s="1419"/>
      <c r="O262" s="1419"/>
      <c r="P262" s="1419"/>
      <c r="Q262" s="1419"/>
      <c r="R262" s="1419"/>
      <c r="S262" s="1419"/>
      <c r="T262" s="1419"/>
      <c r="U262" s="1419"/>
      <c r="V262" s="1419"/>
      <c r="W262" s="1419"/>
      <c r="X262" s="1419"/>
      <c r="Y262" s="1419"/>
      <c r="Z262" s="1419"/>
      <c r="AA262" s="1419"/>
      <c r="AB262" s="1419"/>
      <c r="AC262" s="1419"/>
      <c r="AD262" s="1419"/>
      <c r="AE262" s="1419"/>
      <c r="AH262" s="1791"/>
      <c r="AI262" s="1791"/>
      <c r="AJ262" s="1791"/>
      <c r="AK262" s="1791"/>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10"/>
      <c r="N263" s="1410"/>
      <c r="O263" s="1410"/>
      <c r="P263" s="1410"/>
      <c r="Q263" s="1410"/>
      <c r="R263" s="1410"/>
      <c r="S263" s="4" t="s">
        <v>206</v>
      </c>
      <c r="T263" s="4"/>
      <c r="U263" s="1441"/>
      <c r="V263" s="1441"/>
      <c r="W263" s="1441"/>
      <c r="X263" s="4" t="s">
        <v>89</v>
      </c>
      <c r="Z263" s="1410"/>
      <c r="AA263" s="1410"/>
      <c r="AB263" s="1410"/>
      <c r="AC263" s="1410"/>
      <c r="AD263" s="1410"/>
      <c r="AE263" s="1410"/>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7"/>
      <c r="N264" s="1787"/>
      <c r="O264" s="1787"/>
      <c r="P264" s="1787"/>
      <c r="Q264" s="1787"/>
      <c r="R264" s="1787"/>
      <c r="S264" s="1787"/>
      <c r="T264" s="1787"/>
      <c r="U264" s="1787"/>
      <c r="V264" s="1787"/>
      <c r="W264" s="1787"/>
      <c r="X264" s="1787"/>
      <c r="Y264" s="1787"/>
      <c r="Z264" s="1787"/>
      <c r="AA264" s="1788"/>
      <c r="AB264" s="1788"/>
      <c r="AC264" s="1788"/>
      <c r="AD264" s="1788"/>
      <c r="AE264" s="1788"/>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656" t="s">
        <v>307</v>
      </c>
      <c r="N265" s="1656"/>
      <c r="O265" s="1656"/>
      <c r="P265" s="1656"/>
      <c r="Q265" s="1656"/>
      <c r="R265" s="1656"/>
      <c r="S265" s="1656"/>
      <c r="T265" s="1656"/>
      <c r="U265" s="204" t="s">
        <v>906</v>
      </c>
      <c r="V265" s="204"/>
      <c r="W265" s="204"/>
      <c r="X265" s="204"/>
      <c r="Y265" s="204"/>
      <c r="Z265" s="204"/>
      <c r="AA265" s="1785"/>
      <c r="AB265" s="1785"/>
      <c r="AC265" s="1785"/>
      <c r="AD265" s="1785"/>
      <c r="AE265" s="1785"/>
      <c r="AF265" s="1785"/>
      <c r="AG265" s="1785"/>
      <c r="AH265" s="1785"/>
      <c r="AI265" s="1785"/>
      <c r="AJ265" s="1785"/>
      <c r="AK265" s="1785"/>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295</v>
      </c>
      <c r="D267" s="4"/>
      <c r="E267" s="4"/>
      <c r="F267" s="4"/>
      <c r="G267" s="4"/>
      <c r="H267" s="4"/>
      <c r="I267" s="4"/>
      <c r="J267" s="4"/>
      <c r="K267" s="4"/>
      <c r="L267" s="4"/>
      <c r="M267" s="35"/>
      <c r="N267" s="35"/>
      <c r="O267" s="35"/>
      <c r="P267" s="35"/>
      <c r="Q267" s="35"/>
      <c r="T267" s="1792" t="str">
        <f>IFERROR(BO245,"")</f>
        <v>Joint Venture</v>
      </c>
      <c r="U267" s="1792"/>
      <c r="V267" s="1792"/>
      <c r="W267" s="1792"/>
      <c r="X267" s="1792"/>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19" t="s">
        <v>280</v>
      </c>
      <c r="E270" s="1419"/>
      <c r="F270" s="1419"/>
      <c r="G270" s="1419"/>
      <c r="H270" s="1419"/>
      <c r="J270" t="s">
        <v>279</v>
      </c>
      <c r="X270" s="1697"/>
      <c r="Y270" s="1697"/>
      <c r="Z270" s="1697"/>
      <c r="AA270" s="1697"/>
      <c r="AB270" s="1697"/>
      <c r="AC270" s="1697"/>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1" t="s">
        <v>2619</v>
      </c>
      <c r="M274" s="1422"/>
      <c r="N274" s="1422"/>
      <c r="O274" s="1422"/>
      <c r="P274" s="1422"/>
      <c r="Q274" s="1422"/>
      <c r="R274" s="1422"/>
      <c r="S274" s="1422"/>
      <c r="T274" s="1422"/>
      <c r="U274" s="1422"/>
      <c r="V274" s="1422"/>
      <c r="W274" s="1422"/>
      <c r="X274" s="1422"/>
      <c r="Y274" s="1422"/>
      <c r="Z274" s="1422"/>
      <c r="AA274" s="1422"/>
      <c r="AB274" s="1422"/>
      <c r="AC274" s="1422"/>
      <c r="AD274" s="1422"/>
      <c r="AE274" s="1422"/>
      <c r="AF274" s="1422"/>
      <c r="AG274" s="1422"/>
      <c r="AH274" s="1422"/>
      <c r="AI274" s="1422"/>
      <c r="AJ274" s="1422"/>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9" t="s">
        <v>2632</v>
      </c>
      <c r="M275" s="1419"/>
      <c r="N275" s="1419"/>
      <c r="O275" s="1419"/>
      <c r="P275" s="1419"/>
      <c r="Q275" s="1419"/>
      <c r="R275" s="1419"/>
      <c r="S275" s="1419"/>
      <c r="T275" s="1419"/>
      <c r="U275" s="1419"/>
      <c r="V275" s="1419"/>
      <c r="W275" s="1419"/>
      <c r="X275" s="1419"/>
      <c r="Y275" s="1419"/>
      <c r="Z275" s="1419"/>
      <c r="AA275" s="1419"/>
      <c r="AB275" s="1419"/>
      <c r="AC275" s="1419"/>
      <c r="AD275" s="1419"/>
      <c r="AK275" s="3"/>
      <c r="AL275" s="3"/>
      <c r="AM275" s="3"/>
      <c r="AN275" s="3"/>
      <c r="AO275" s="3"/>
      <c r="AP275" s="3"/>
      <c r="AQ275" s="3"/>
      <c r="AR275" s="3"/>
      <c r="AS275" s="3"/>
      <c r="AT275" s="3"/>
      <c r="AU275" s="3"/>
      <c r="AV275" s="3"/>
      <c r="AW275" s="3"/>
      <c r="AX275" s="3"/>
      <c r="AY275" s="3"/>
    </row>
    <row r="276" spans="1:51" ht="12.95" customHeight="1">
      <c r="D276" s="4" t="s">
        <v>580</v>
      </c>
      <c r="E276" s="4"/>
      <c r="L276" s="1418" t="s">
        <v>494</v>
      </c>
      <c r="M276" s="1419"/>
      <c r="N276" s="1419"/>
      <c r="O276" s="1419"/>
      <c r="P276" s="1419"/>
      <c r="Q276" s="1419"/>
      <c r="R276" s="1419"/>
      <c r="S276" s="1419"/>
      <c r="U276" s="33" t="s">
        <v>86</v>
      </c>
      <c r="V276" s="1532" t="s">
        <v>2633</v>
      </c>
      <c r="W276" s="1441"/>
      <c r="X276" s="4" t="s">
        <v>583</v>
      </c>
      <c r="AB276" s="1419">
        <v>90064</v>
      </c>
      <c r="AC276" s="1419"/>
      <c r="AD276" s="1419"/>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8" t="s">
        <v>2634</v>
      </c>
      <c r="M277" s="1419"/>
      <c r="N277" s="1419"/>
      <c r="O277" s="1419"/>
      <c r="P277" s="1419"/>
      <c r="Q277" s="1419"/>
      <c r="R277" s="1419"/>
      <c r="S277" s="1419"/>
      <c r="T277" s="1419"/>
      <c r="U277" s="1419"/>
      <c r="V277" s="1419"/>
      <c r="W277" s="1419"/>
      <c r="X277" s="1419"/>
      <c r="Y277" s="1419"/>
      <c r="Z277" s="1419"/>
      <c r="AA277" s="1419"/>
      <c r="AB277" s="1419"/>
      <c r="AC277" s="1419"/>
      <c r="AD277" s="1419"/>
      <c r="AI277" s="4"/>
      <c r="AJ277" s="4"/>
      <c r="AK277" s="3"/>
      <c r="AL277" s="3"/>
      <c r="AM277" s="3"/>
      <c r="AN277" s="3"/>
      <c r="AO277" s="3"/>
      <c r="AP277" s="3"/>
      <c r="AQ277" s="3"/>
      <c r="AR277" s="3"/>
      <c r="AS277" s="3"/>
      <c r="AT277" s="3"/>
    </row>
    <row r="278" spans="1:51" ht="12.95" customHeight="1">
      <c r="D278" s="4" t="s">
        <v>88</v>
      </c>
      <c r="E278" s="4"/>
      <c r="F278" s="4"/>
      <c r="L278" s="1410" t="s">
        <v>2635</v>
      </c>
      <c r="M278" s="1410"/>
      <c r="N278" s="1410"/>
      <c r="O278" s="1410"/>
      <c r="P278" s="1410"/>
      <c r="Q278" s="1410"/>
      <c r="R278" s="4" t="s">
        <v>206</v>
      </c>
      <c r="S278" s="4"/>
      <c r="T278" s="1441">
        <v>108</v>
      </c>
      <c r="U278" s="1441"/>
      <c r="V278" s="1441"/>
      <c r="W278" s="4" t="s">
        <v>89</v>
      </c>
      <c r="Y278" s="1410" t="s">
        <v>2636</v>
      </c>
      <c r="Z278" s="1410"/>
      <c r="AA278" s="1410"/>
      <c r="AB278" s="1410"/>
      <c r="AC278" s="1410"/>
      <c r="AD278" s="1410"/>
    </row>
    <row r="279" spans="1:51" ht="12.95" customHeight="1">
      <c r="D279" s="4" t="s">
        <v>90</v>
      </c>
      <c r="E279" s="4"/>
      <c r="F279" s="4"/>
      <c r="L279" s="1787" t="s">
        <v>2637</v>
      </c>
      <c r="M279" s="1787"/>
      <c r="N279" s="1787"/>
      <c r="O279" s="1787"/>
      <c r="P279" s="1787"/>
      <c r="Q279" s="1787"/>
      <c r="R279" s="1787"/>
      <c r="S279" s="1787"/>
      <c r="T279" s="1787"/>
      <c r="U279" s="1787"/>
      <c r="V279" s="1787"/>
      <c r="W279" s="1787"/>
      <c r="X279" s="1787"/>
      <c r="Y279" s="1787"/>
      <c r="Z279" s="1787"/>
      <c r="AA279" s="1787"/>
      <c r="AB279" s="1787"/>
      <c r="AC279" s="1787"/>
      <c r="AD279" s="1787"/>
      <c r="AF279" s="4"/>
      <c r="AG279" s="4"/>
      <c r="AH279" s="4"/>
      <c r="AI279" s="4"/>
      <c r="AJ279" s="4"/>
      <c r="AU279" s="3"/>
      <c r="AV279" s="3"/>
      <c r="AW279" s="3"/>
      <c r="AX279" s="3"/>
      <c r="AY279" s="3"/>
    </row>
    <row r="280" spans="1:51" ht="12.95" customHeight="1">
      <c r="D280" s="3" t="s">
        <v>623</v>
      </c>
      <c r="E280" s="3"/>
      <c r="F280" s="3"/>
      <c r="G280" s="3"/>
      <c r="H280" s="3"/>
      <c r="I280" s="3"/>
      <c r="L280" s="1532" t="s">
        <v>2645</v>
      </c>
      <c r="M280" s="1532"/>
      <c r="N280" s="1532"/>
      <c r="O280" s="1532"/>
      <c r="P280" s="1532"/>
      <c r="Q280" s="1532"/>
      <c r="R280" s="1532"/>
      <c r="S280" s="1532"/>
      <c r="T280" s="1532"/>
      <c r="U280" s="1532"/>
      <c r="V280" s="1532"/>
      <c r="W280" s="1532"/>
      <c r="X280" s="1532"/>
      <c r="Y280" s="1532"/>
      <c r="Z280" s="1532"/>
      <c r="AA280" s="1532"/>
      <c r="AB280" s="1532"/>
      <c r="AC280" s="1532"/>
      <c r="AD280" s="1532"/>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30" t="s">
        <v>541</v>
      </c>
      <c r="B282" s="1430"/>
      <c r="C282" s="1430"/>
      <c r="D282" s="1430"/>
      <c r="E282" s="1430"/>
      <c r="F282" s="1430"/>
      <c r="G282" s="1430"/>
      <c r="H282" s="1430"/>
      <c r="I282" s="1430"/>
      <c r="J282" s="1430"/>
      <c r="K282" s="1430"/>
      <c r="L282" s="1430"/>
      <c r="M282" s="1430"/>
      <c r="N282" s="1430"/>
      <c r="O282" s="1430"/>
      <c r="P282" s="1430"/>
      <c r="Q282" s="1430"/>
      <c r="R282" s="1430"/>
      <c r="S282" s="1430"/>
      <c r="T282" s="1430"/>
      <c r="U282" s="1430"/>
      <c r="V282" s="1430"/>
      <c r="W282" s="1430"/>
      <c r="X282" s="1430"/>
      <c r="Y282" s="1430"/>
      <c r="Z282" s="1430"/>
      <c r="AA282" s="1430"/>
      <c r="AB282" s="1430"/>
      <c r="AC282" s="1430"/>
      <c r="AD282" s="1430"/>
      <c r="AE282" s="1430"/>
      <c r="AF282" s="1430"/>
      <c r="AG282" s="1430"/>
      <c r="AH282" s="1430"/>
      <c r="AI282" s="1430"/>
      <c r="AJ282" s="1430"/>
      <c r="AK282" s="1430"/>
      <c r="AL282" s="1430"/>
      <c r="AM282" s="1430"/>
      <c r="AN282" s="1430"/>
      <c r="AO282" s="1430"/>
      <c r="AP282" s="1430"/>
      <c r="AQ282" s="1430"/>
      <c r="AR282" s="1430"/>
      <c r="AS282" s="1430"/>
      <c r="AT282" s="1430"/>
      <c r="AU282" s="95"/>
      <c r="AV282" s="95"/>
      <c r="AW282" s="95"/>
      <c r="AX282" s="95"/>
      <c r="AY282" s="95"/>
    </row>
    <row r="283" spans="1:51" ht="12.95" customHeight="1">
      <c r="A283" s="1430"/>
      <c r="B283" s="1430"/>
      <c r="C283" s="1430"/>
      <c r="D283" s="1430"/>
      <c r="E283" s="1430"/>
      <c r="F283" s="1430"/>
      <c r="G283" s="1430"/>
      <c r="H283" s="1430"/>
      <c r="I283" s="1430"/>
      <c r="J283" s="1430"/>
      <c r="K283" s="1430"/>
      <c r="L283" s="1430"/>
      <c r="M283" s="1430"/>
      <c r="N283" s="1430"/>
      <c r="O283" s="1430"/>
      <c r="P283" s="1430"/>
      <c r="Q283" s="1430"/>
      <c r="R283" s="1430"/>
      <c r="S283" s="1430"/>
      <c r="T283" s="1430"/>
      <c r="U283" s="1430"/>
      <c r="V283" s="1430"/>
      <c r="W283" s="1430"/>
      <c r="X283" s="1430"/>
      <c r="Y283" s="1430"/>
      <c r="Z283" s="1430"/>
      <c r="AA283" s="1430"/>
      <c r="AB283" s="1430"/>
      <c r="AC283" s="1430"/>
      <c r="AD283" s="1430"/>
      <c r="AE283" s="1430"/>
      <c r="AF283" s="1430"/>
      <c r="AG283" s="1430"/>
      <c r="AH283" s="1430"/>
      <c r="AI283" s="1430"/>
      <c r="AJ283" s="1430"/>
      <c r="AK283" s="1430"/>
      <c r="AL283" s="1430"/>
      <c r="AM283" s="1430"/>
      <c r="AN283" s="1430"/>
      <c r="AO283" s="1430"/>
      <c r="AP283" s="1430"/>
      <c r="AQ283" s="1430"/>
      <c r="AR283" s="1430"/>
      <c r="AS283" s="1430"/>
      <c r="AT283" s="1430"/>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418" t="s">
        <v>2616</v>
      </c>
      <c r="I287" s="1339"/>
      <c r="J287" s="1339"/>
      <c r="K287" s="1339"/>
      <c r="L287" s="1339"/>
      <c r="M287" s="1339"/>
      <c r="N287" s="1339"/>
      <c r="O287" s="1339"/>
      <c r="P287" s="1339"/>
      <c r="Q287" s="1339"/>
      <c r="R287" s="1339"/>
      <c r="T287" s="3" t="s">
        <v>567</v>
      </c>
      <c r="V287" s="3"/>
      <c r="W287" s="3"/>
      <c r="X287" s="3"/>
      <c r="Y287" s="3"/>
      <c r="AA287" s="1418" t="s">
        <v>2680</v>
      </c>
      <c r="AB287" s="1339"/>
      <c r="AC287" s="1339"/>
      <c r="AD287" s="1339"/>
      <c r="AE287" s="1339"/>
      <c r="AF287" s="1339"/>
      <c r="AG287" s="1339"/>
      <c r="AH287" s="1339"/>
      <c r="AI287" s="1339"/>
      <c r="AJ287" s="1339"/>
      <c r="AK287" s="1339"/>
    </row>
    <row r="288" spans="1:51" ht="12.95" customHeight="1">
      <c r="B288" s="3" t="s">
        <v>471</v>
      </c>
      <c r="C288" s="3"/>
      <c r="D288" s="3"/>
      <c r="E288" s="3"/>
      <c r="F288" s="3"/>
      <c r="H288" s="1656" t="s">
        <v>2632</v>
      </c>
      <c r="I288" s="1656"/>
      <c r="J288" s="1656"/>
      <c r="K288" s="1656"/>
      <c r="L288" s="1656"/>
      <c r="M288" s="1656"/>
      <c r="N288" s="1656"/>
      <c r="O288" s="1656"/>
      <c r="P288" s="1656"/>
      <c r="Q288" s="1656"/>
      <c r="R288" s="1656"/>
      <c r="T288" s="3" t="s">
        <v>471</v>
      </c>
      <c r="V288" s="3"/>
      <c r="W288" s="3"/>
      <c r="X288" s="3"/>
      <c r="Y288" s="3"/>
      <c r="AA288" s="1532" t="s">
        <v>2681</v>
      </c>
      <c r="AB288" s="1656"/>
      <c r="AC288" s="1656"/>
      <c r="AD288" s="1656"/>
      <c r="AE288" s="1656"/>
      <c r="AF288" s="1656"/>
      <c r="AG288" s="1656"/>
      <c r="AH288" s="1656"/>
      <c r="AI288" s="1656"/>
      <c r="AJ288" s="1656"/>
      <c r="AK288" s="1656"/>
    </row>
    <row r="289" spans="2:37" ht="12.95" customHeight="1">
      <c r="B289" s="3" t="s">
        <v>472</v>
      </c>
      <c r="C289" s="3"/>
      <c r="D289" s="3"/>
      <c r="E289" s="3"/>
      <c r="F289" s="3"/>
      <c r="H289" s="1532" t="s">
        <v>2649</v>
      </c>
      <c r="I289" s="1656"/>
      <c r="J289" s="1656"/>
      <c r="K289" s="1656"/>
      <c r="L289" s="1656"/>
      <c r="M289" s="1656"/>
      <c r="N289" s="1656"/>
      <c r="O289" s="1656"/>
      <c r="P289" s="1656"/>
      <c r="Q289" s="1656"/>
      <c r="R289" s="1656"/>
      <c r="T289" s="3" t="s">
        <v>75</v>
      </c>
      <c r="V289" s="3"/>
      <c r="W289" s="3"/>
      <c r="X289" s="3"/>
      <c r="Y289" s="3"/>
      <c r="AA289" s="1532" t="s">
        <v>2682</v>
      </c>
      <c r="AB289" s="1656"/>
      <c r="AC289" s="1656"/>
      <c r="AD289" s="1656"/>
      <c r="AE289" s="1656"/>
      <c r="AF289" s="1656"/>
      <c r="AG289" s="1656"/>
      <c r="AH289" s="1656"/>
      <c r="AI289" s="1656"/>
      <c r="AJ289" s="1656"/>
      <c r="AK289" s="1656"/>
    </row>
    <row r="290" spans="2:37" ht="12.95" customHeight="1">
      <c r="B290" s="3" t="s">
        <v>87</v>
      </c>
      <c r="C290" s="3"/>
      <c r="D290" s="3"/>
      <c r="E290" s="3"/>
      <c r="F290" s="3"/>
      <c r="H290" s="1656" t="s">
        <v>2634</v>
      </c>
      <c r="I290" s="1656"/>
      <c r="J290" s="1656"/>
      <c r="K290" s="1656"/>
      <c r="L290" s="1656"/>
      <c r="M290" s="1656"/>
      <c r="N290" s="1656"/>
      <c r="O290" s="1656"/>
      <c r="P290" s="1656"/>
      <c r="Q290" s="1656"/>
      <c r="R290" s="1656"/>
      <c r="T290" s="3" t="s">
        <v>87</v>
      </c>
      <c r="V290" s="3"/>
      <c r="W290" s="3"/>
      <c r="X290" s="3"/>
      <c r="Y290" s="3"/>
      <c r="AA290" s="1532" t="s">
        <v>2703</v>
      </c>
      <c r="AB290" s="1656"/>
      <c r="AC290" s="1656"/>
      <c r="AD290" s="1656"/>
      <c r="AE290" s="1656"/>
      <c r="AF290" s="1656"/>
      <c r="AG290" s="1656"/>
      <c r="AH290" s="1656"/>
      <c r="AI290" s="1656"/>
      <c r="AJ290" s="1656"/>
      <c r="AK290" s="1656"/>
    </row>
    <row r="291" spans="2:37" ht="12.95" customHeight="1">
      <c r="B291" s="3" t="s">
        <v>88</v>
      </c>
      <c r="C291" s="3"/>
      <c r="D291" s="3"/>
      <c r="E291" s="3"/>
      <c r="F291" s="3"/>
      <c r="G291" s="3"/>
      <c r="H291" s="1431" t="s">
        <v>2635</v>
      </c>
      <c r="I291" s="1431"/>
      <c r="J291" s="1431"/>
      <c r="K291" s="1431"/>
      <c r="L291" s="1431"/>
      <c r="M291" s="1431"/>
      <c r="N291" s="4" t="s">
        <v>206</v>
      </c>
      <c r="O291" s="4"/>
      <c r="P291" s="1419"/>
      <c r="Q291" s="1419"/>
      <c r="R291" s="1419"/>
      <c r="S291" s="3"/>
      <c r="T291" s="3" t="s">
        <v>88</v>
      </c>
      <c r="V291" s="3"/>
      <c r="W291" s="3"/>
      <c r="X291" s="3"/>
      <c r="Y291" s="3"/>
      <c r="AA291" s="1793" t="s">
        <v>2683</v>
      </c>
      <c r="AB291" s="1431"/>
      <c r="AC291" s="1431"/>
      <c r="AD291" s="1431"/>
      <c r="AE291" s="1431"/>
      <c r="AF291" s="1431"/>
      <c r="AG291" s="4" t="s">
        <v>206</v>
      </c>
      <c r="AH291" s="4"/>
      <c r="AI291" s="1419"/>
      <c r="AJ291" s="1419"/>
      <c r="AK291" s="1419"/>
    </row>
    <row r="292" spans="2:37" ht="12.95" customHeight="1">
      <c r="B292" s="3" t="s">
        <v>89</v>
      </c>
      <c r="C292" s="3"/>
      <c r="D292" s="3"/>
      <c r="E292" s="3"/>
      <c r="F292" s="3"/>
      <c r="G292" s="3"/>
      <c r="H292" s="1410" t="s">
        <v>2636</v>
      </c>
      <c r="I292" s="1410"/>
      <c r="J292" s="1410"/>
      <c r="K292" s="1410"/>
      <c r="L292" s="1410"/>
      <c r="M292" s="1410"/>
      <c r="N292" s="4"/>
      <c r="O292" s="4"/>
      <c r="P292" s="35"/>
      <c r="Q292" s="35"/>
      <c r="R292" s="35"/>
      <c r="S292" s="3"/>
      <c r="T292" s="3" t="s">
        <v>89</v>
      </c>
      <c r="V292" s="3"/>
      <c r="W292" s="3"/>
      <c r="X292" s="3"/>
      <c r="Y292" s="3"/>
      <c r="AA292" s="1410"/>
      <c r="AB292" s="1410"/>
      <c r="AC292" s="1410"/>
      <c r="AD292" s="1410"/>
      <c r="AE292" s="1410"/>
      <c r="AF292" s="1410"/>
      <c r="AG292" s="4"/>
      <c r="AH292" s="4"/>
      <c r="AI292" s="35"/>
      <c r="AJ292" s="35"/>
      <c r="AK292" s="35"/>
    </row>
    <row r="293" spans="2:37" ht="12.95" customHeight="1">
      <c r="B293" s="3" t="s">
        <v>76</v>
      </c>
      <c r="C293" s="3"/>
      <c r="D293" s="3"/>
      <c r="E293" s="3"/>
      <c r="F293" s="3"/>
      <c r="G293" s="3"/>
      <c r="H293" s="1656" t="s">
        <v>2637</v>
      </c>
      <c r="I293" s="1656"/>
      <c r="J293" s="1656"/>
      <c r="K293" s="1656"/>
      <c r="L293" s="1656"/>
      <c r="M293" s="1656"/>
      <c r="N293" s="1339"/>
      <c r="O293" s="1339"/>
      <c r="P293" s="1339"/>
      <c r="Q293" s="1339"/>
      <c r="R293" s="1339"/>
      <c r="S293" s="3"/>
      <c r="T293" s="3" t="s">
        <v>76</v>
      </c>
      <c r="V293" s="3"/>
      <c r="W293" s="3"/>
      <c r="X293" s="3"/>
      <c r="Y293" s="3"/>
      <c r="AA293" s="1532" t="s">
        <v>2749</v>
      </c>
      <c r="AB293" s="1656"/>
      <c r="AC293" s="1656"/>
      <c r="AD293" s="1656"/>
      <c r="AE293" s="1656"/>
      <c r="AF293" s="1656"/>
      <c r="AG293" s="1339"/>
      <c r="AH293" s="1339"/>
      <c r="AI293" s="1339"/>
      <c r="AJ293" s="1339"/>
      <c r="AK293" s="1339"/>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815" t="s">
        <v>2650</v>
      </c>
      <c r="I295" s="1815"/>
      <c r="J295" s="1815"/>
      <c r="K295" s="1815"/>
      <c r="L295" s="1815"/>
      <c r="M295" s="1815"/>
      <c r="N295" s="1815"/>
      <c r="O295" s="1815"/>
      <c r="P295" s="1815"/>
      <c r="Q295" s="1815"/>
      <c r="R295" s="1815"/>
      <c r="T295" s="3" t="s">
        <v>364</v>
      </c>
      <c r="V295" s="3"/>
      <c r="W295" s="3"/>
      <c r="X295" s="3"/>
      <c r="Y295" s="3"/>
      <c r="AA295" s="1339" t="s">
        <v>2704</v>
      </c>
      <c r="AB295" s="1339"/>
      <c r="AC295" s="1339"/>
      <c r="AD295" s="1339"/>
      <c r="AE295" s="1339"/>
      <c r="AF295" s="1339"/>
      <c r="AG295" s="1339"/>
      <c r="AH295" s="1339"/>
      <c r="AI295" s="1339"/>
      <c r="AJ295" s="1339"/>
      <c r="AK295" s="1339"/>
    </row>
    <row r="296" spans="2:37" ht="12.95" customHeight="1">
      <c r="B296" s="3" t="s">
        <v>471</v>
      </c>
      <c r="C296" s="3"/>
      <c r="D296" s="3"/>
      <c r="E296" s="3"/>
      <c r="F296" s="3"/>
      <c r="H296" s="1786" t="s">
        <v>2651</v>
      </c>
      <c r="I296" s="1786"/>
      <c r="J296" s="1786"/>
      <c r="K296" s="1786"/>
      <c r="L296" s="1786"/>
      <c r="M296" s="1786"/>
      <c r="N296" s="1786"/>
      <c r="O296" s="1786"/>
      <c r="P296" s="1786"/>
      <c r="Q296" s="1786"/>
      <c r="R296" s="1786"/>
      <c r="T296" s="3" t="s">
        <v>471</v>
      </c>
      <c r="V296" s="3"/>
      <c r="W296" s="3"/>
      <c r="X296" s="3"/>
      <c r="Y296" s="3"/>
      <c r="AA296" s="1656"/>
      <c r="AB296" s="1656"/>
      <c r="AC296" s="1656"/>
      <c r="AD296" s="1656"/>
      <c r="AE296" s="1656"/>
      <c r="AF296" s="1656"/>
      <c r="AG296" s="1656"/>
      <c r="AH296" s="1656"/>
      <c r="AI296" s="1656"/>
      <c r="AJ296" s="1656"/>
      <c r="AK296" s="1656"/>
    </row>
    <row r="297" spans="2:37" ht="12.95" customHeight="1">
      <c r="B297" s="3" t="s">
        <v>472</v>
      </c>
      <c r="C297" s="3"/>
      <c r="D297" s="3"/>
      <c r="E297" s="3"/>
      <c r="F297" s="3"/>
      <c r="H297" s="1786" t="s">
        <v>2652</v>
      </c>
      <c r="I297" s="1786"/>
      <c r="J297" s="1786"/>
      <c r="K297" s="1786"/>
      <c r="L297" s="1786"/>
      <c r="M297" s="1786"/>
      <c r="N297" s="1786"/>
      <c r="O297" s="1786"/>
      <c r="P297" s="1786"/>
      <c r="Q297" s="1786"/>
      <c r="R297" s="1786"/>
      <c r="T297" s="3" t="s">
        <v>75</v>
      </c>
      <c r="V297" s="3"/>
      <c r="W297" s="3"/>
      <c r="X297" s="3"/>
      <c r="Y297" s="3"/>
      <c r="AA297" s="1656"/>
      <c r="AB297" s="1656"/>
      <c r="AC297" s="1656"/>
      <c r="AD297" s="1656"/>
      <c r="AE297" s="1656"/>
      <c r="AF297" s="1656"/>
      <c r="AG297" s="1656"/>
      <c r="AH297" s="1656"/>
      <c r="AI297" s="1656"/>
      <c r="AJ297" s="1656"/>
      <c r="AK297" s="1656"/>
    </row>
    <row r="298" spans="2:37" ht="12.95" customHeight="1">
      <c r="B298" s="3" t="s">
        <v>87</v>
      </c>
      <c r="C298" s="3"/>
      <c r="D298" s="3"/>
      <c r="E298" s="3"/>
      <c r="F298" s="3"/>
      <c r="H298" s="1786" t="s">
        <v>2653</v>
      </c>
      <c r="I298" s="1786"/>
      <c r="J298" s="1786"/>
      <c r="K298" s="1786"/>
      <c r="L298" s="1786"/>
      <c r="M298" s="1786"/>
      <c r="N298" s="1786"/>
      <c r="O298" s="1786"/>
      <c r="P298" s="1786"/>
      <c r="Q298" s="1786"/>
      <c r="R298" s="1786"/>
      <c r="T298" s="3" t="s">
        <v>87</v>
      </c>
      <c r="V298" s="3"/>
      <c r="W298" s="3"/>
      <c r="X298" s="3"/>
      <c r="Y298" s="3"/>
      <c r="AA298" s="1656"/>
      <c r="AB298" s="1656"/>
      <c r="AC298" s="1656"/>
      <c r="AD298" s="1656"/>
      <c r="AE298" s="1656"/>
      <c r="AF298" s="1656"/>
      <c r="AG298" s="1656"/>
      <c r="AH298" s="1656"/>
      <c r="AI298" s="1656"/>
      <c r="AJ298" s="1656"/>
      <c r="AK298" s="1656"/>
    </row>
    <row r="299" spans="2:37" ht="12.95" customHeight="1">
      <c r="B299" s="3" t="s">
        <v>88</v>
      </c>
      <c r="C299" s="3"/>
      <c r="D299" s="3"/>
      <c r="E299" s="3"/>
      <c r="F299" s="3"/>
      <c r="G299" s="3"/>
      <c r="H299" s="1814" t="s">
        <v>2654</v>
      </c>
      <c r="I299" s="1814"/>
      <c r="J299" s="1814"/>
      <c r="K299" s="1814"/>
      <c r="L299" s="1814"/>
      <c r="M299" s="1814"/>
      <c r="N299" s="4" t="s">
        <v>206</v>
      </c>
      <c r="O299" s="4"/>
      <c r="P299" s="1419"/>
      <c r="Q299" s="1419"/>
      <c r="R299" s="1419"/>
      <c r="S299" s="3"/>
      <c r="T299" s="3" t="s">
        <v>88</v>
      </c>
      <c r="V299" s="3"/>
      <c r="W299" s="3"/>
      <c r="X299" s="3"/>
      <c r="Y299" s="3"/>
      <c r="AA299" s="1431"/>
      <c r="AB299" s="1431"/>
      <c r="AC299" s="1431"/>
      <c r="AD299" s="1431"/>
      <c r="AE299" s="1431"/>
      <c r="AF299" s="1431"/>
      <c r="AG299" s="4" t="s">
        <v>206</v>
      </c>
      <c r="AH299" s="4"/>
      <c r="AI299" s="1419"/>
      <c r="AJ299" s="1419"/>
      <c r="AK299" s="1419"/>
    </row>
    <row r="300" spans="2:37" ht="12.95" customHeight="1">
      <c r="B300" s="3" t="s">
        <v>89</v>
      </c>
      <c r="C300" s="3"/>
      <c r="D300" s="3"/>
      <c r="E300" s="3"/>
      <c r="F300" s="3"/>
      <c r="G300" s="3"/>
      <c r="H300" s="1813" t="s">
        <v>2655</v>
      </c>
      <c r="I300" s="1813"/>
      <c r="J300" s="1813"/>
      <c r="K300" s="1813"/>
      <c r="L300" s="1813"/>
      <c r="M300" s="1813"/>
      <c r="N300" s="4"/>
      <c r="O300" s="4"/>
      <c r="P300" s="35"/>
      <c r="Q300" s="35"/>
      <c r="R300" s="35"/>
      <c r="S300" s="3"/>
      <c r="T300" s="3" t="s">
        <v>89</v>
      </c>
      <c r="V300" s="3"/>
      <c r="W300" s="3"/>
      <c r="X300" s="3"/>
      <c r="Y300" s="3"/>
      <c r="AA300" s="1410"/>
      <c r="AB300" s="1410"/>
      <c r="AC300" s="1410"/>
      <c r="AD300" s="1410"/>
      <c r="AE300" s="1410"/>
      <c r="AF300" s="1410"/>
      <c r="AG300" s="4"/>
      <c r="AH300" s="4"/>
      <c r="AI300" s="35"/>
      <c r="AJ300" s="35"/>
      <c r="AK300" s="35"/>
    </row>
    <row r="301" spans="2:37" ht="12.95" customHeight="1">
      <c r="B301" s="3" t="s">
        <v>76</v>
      </c>
      <c r="C301" s="3"/>
      <c r="D301" s="3"/>
      <c r="E301" s="3"/>
      <c r="F301" s="3"/>
      <c r="G301" s="3"/>
      <c r="H301" s="1786" t="s">
        <v>2656</v>
      </c>
      <c r="I301" s="1786"/>
      <c r="J301" s="1786"/>
      <c r="K301" s="1786"/>
      <c r="L301" s="1786"/>
      <c r="M301" s="1786"/>
      <c r="N301" s="1815"/>
      <c r="O301" s="1815"/>
      <c r="P301" s="1815"/>
      <c r="Q301" s="1815"/>
      <c r="R301" s="1815"/>
      <c r="S301" s="3"/>
      <c r="T301" s="3" t="s">
        <v>76</v>
      </c>
      <c r="V301" s="3"/>
      <c r="W301" s="3"/>
      <c r="X301" s="3"/>
      <c r="Y301" s="3"/>
      <c r="AA301" s="1656"/>
      <c r="AB301" s="1656"/>
      <c r="AC301" s="1656"/>
      <c r="AD301" s="1656"/>
      <c r="AE301" s="1656"/>
      <c r="AF301" s="1656"/>
      <c r="AG301" s="1339"/>
      <c r="AH301" s="1339"/>
      <c r="AI301" s="1339"/>
      <c r="AJ301" s="1339"/>
      <c r="AK301" s="1339"/>
    </row>
    <row r="302" spans="2:37" ht="12.95" customHeight="1"/>
    <row r="303" spans="2:37" ht="12.95" customHeight="1">
      <c r="B303" s="3" t="s">
        <v>77</v>
      </c>
      <c r="C303" s="3"/>
      <c r="D303" s="3"/>
      <c r="E303" s="3"/>
      <c r="F303" s="3"/>
      <c r="H303" s="1815" t="s">
        <v>2657</v>
      </c>
      <c r="I303" s="1815"/>
      <c r="J303" s="1815"/>
      <c r="K303" s="1815"/>
      <c r="L303" s="1815"/>
      <c r="M303" s="1815"/>
      <c r="N303" s="1815"/>
      <c r="O303" s="1815"/>
      <c r="P303" s="1815"/>
      <c r="Q303" s="1815"/>
      <c r="R303" s="1815"/>
      <c r="T303" s="4" t="s">
        <v>878</v>
      </c>
      <c r="V303" s="3"/>
      <c r="W303" s="3"/>
      <c r="X303" s="3"/>
      <c r="Y303" s="3"/>
      <c r="AA303" s="1339"/>
      <c r="AB303" s="1339"/>
      <c r="AC303" s="1339"/>
      <c r="AD303" s="1339"/>
      <c r="AE303" s="1339"/>
      <c r="AF303" s="1339"/>
      <c r="AG303" s="1339"/>
      <c r="AH303" s="1339"/>
      <c r="AI303" s="1339"/>
      <c r="AJ303" s="1339"/>
      <c r="AK303" s="1339"/>
    </row>
    <row r="304" spans="2:37" ht="12.95" customHeight="1">
      <c r="B304" s="3" t="s">
        <v>471</v>
      </c>
      <c r="C304" s="3"/>
      <c r="D304" s="3"/>
      <c r="E304" s="3"/>
      <c r="F304" s="3"/>
      <c r="H304" s="1786" t="s">
        <v>2658</v>
      </c>
      <c r="I304" s="1786"/>
      <c r="J304" s="1786"/>
      <c r="K304" s="1786"/>
      <c r="L304" s="1786"/>
      <c r="M304" s="1786"/>
      <c r="N304" s="1786"/>
      <c r="O304" s="1786"/>
      <c r="P304" s="1786"/>
      <c r="Q304" s="1786"/>
      <c r="R304" s="1786"/>
      <c r="T304" s="3" t="s">
        <v>471</v>
      </c>
      <c r="V304" s="3"/>
      <c r="W304" s="3"/>
      <c r="X304" s="3"/>
      <c r="Y304" s="3"/>
      <c r="AA304" s="1656"/>
      <c r="AB304" s="1656"/>
      <c r="AC304" s="1656"/>
      <c r="AD304" s="1656"/>
      <c r="AE304" s="1656"/>
      <c r="AF304" s="1656"/>
      <c r="AG304" s="1656"/>
      <c r="AH304" s="1656"/>
      <c r="AI304" s="1656"/>
      <c r="AJ304" s="1656"/>
      <c r="AK304" s="1656"/>
    </row>
    <row r="305" spans="2:37" ht="12.95" customHeight="1">
      <c r="B305" s="3" t="s">
        <v>472</v>
      </c>
      <c r="C305" s="3"/>
      <c r="D305" s="3"/>
      <c r="E305" s="3"/>
      <c r="F305" s="3"/>
      <c r="H305" s="1786" t="s">
        <v>2659</v>
      </c>
      <c r="I305" s="1786"/>
      <c r="J305" s="1786"/>
      <c r="K305" s="1786"/>
      <c r="L305" s="1786"/>
      <c r="M305" s="1786"/>
      <c r="N305" s="1786"/>
      <c r="O305" s="1786"/>
      <c r="P305" s="1786"/>
      <c r="Q305" s="1786"/>
      <c r="R305" s="1786"/>
      <c r="T305" s="3" t="s">
        <v>75</v>
      </c>
      <c r="V305" s="3"/>
      <c r="W305" s="3"/>
      <c r="X305" s="3"/>
      <c r="Y305" s="3"/>
      <c r="AA305" s="1656"/>
      <c r="AB305" s="1656"/>
      <c r="AC305" s="1656"/>
      <c r="AD305" s="1656"/>
      <c r="AE305" s="1656"/>
      <c r="AF305" s="1656"/>
      <c r="AG305" s="1656"/>
      <c r="AH305" s="1656"/>
      <c r="AI305" s="1656"/>
      <c r="AJ305" s="1656"/>
      <c r="AK305" s="1656"/>
    </row>
    <row r="306" spans="2:37" ht="12.95" customHeight="1">
      <c r="B306" s="3" t="s">
        <v>87</v>
      </c>
      <c r="C306" s="3"/>
      <c r="D306" s="3"/>
      <c r="E306" s="3"/>
      <c r="F306" s="3"/>
      <c r="H306" s="1786" t="s">
        <v>2660</v>
      </c>
      <c r="I306" s="1786"/>
      <c r="J306" s="1786"/>
      <c r="K306" s="1786"/>
      <c r="L306" s="1786"/>
      <c r="M306" s="1786"/>
      <c r="N306" s="1786"/>
      <c r="O306" s="1786"/>
      <c r="P306" s="1786"/>
      <c r="Q306" s="1786"/>
      <c r="R306" s="1786"/>
      <c r="T306" s="3" t="s">
        <v>87</v>
      </c>
      <c r="V306" s="3"/>
      <c r="W306" s="3"/>
      <c r="X306" s="3"/>
      <c r="Y306" s="3"/>
      <c r="AA306" s="1656"/>
      <c r="AB306" s="1656"/>
      <c r="AC306" s="1656"/>
      <c r="AD306" s="1656"/>
      <c r="AE306" s="1656"/>
      <c r="AF306" s="1656"/>
      <c r="AG306" s="1656"/>
      <c r="AH306" s="1656"/>
      <c r="AI306" s="1656"/>
      <c r="AJ306" s="1656"/>
      <c r="AK306" s="1656"/>
    </row>
    <row r="307" spans="2:37" ht="12.95" customHeight="1">
      <c r="B307" s="3" t="s">
        <v>88</v>
      </c>
      <c r="C307" s="3"/>
      <c r="D307" s="3"/>
      <c r="E307" s="3"/>
      <c r="F307" s="3"/>
      <c r="G307" s="3"/>
      <c r="H307" s="1814" t="s">
        <v>2661</v>
      </c>
      <c r="I307" s="1814"/>
      <c r="J307" s="1814"/>
      <c r="K307" s="1814"/>
      <c r="L307" s="1814"/>
      <c r="M307" s="1814"/>
      <c r="N307" s="4" t="s">
        <v>206</v>
      </c>
      <c r="O307" s="4"/>
      <c r="P307" s="1419"/>
      <c r="Q307" s="1419"/>
      <c r="R307" s="1419"/>
      <c r="S307" s="3"/>
      <c r="T307" s="3" t="s">
        <v>88</v>
      </c>
      <c r="V307" s="3"/>
      <c r="W307" s="3"/>
      <c r="X307" s="3"/>
      <c r="Y307" s="3"/>
      <c r="AA307" s="1431"/>
      <c r="AB307" s="1431"/>
      <c r="AC307" s="1431"/>
      <c r="AD307" s="1431"/>
      <c r="AE307" s="1431"/>
      <c r="AF307" s="1431"/>
      <c r="AG307" s="4" t="s">
        <v>206</v>
      </c>
      <c r="AH307" s="4"/>
      <c r="AI307" s="1419"/>
      <c r="AJ307" s="1419"/>
      <c r="AK307" s="1419"/>
    </row>
    <row r="308" spans="2:37" ht="12.95" customHeight="1">
      <c r="B308" s="3" t="s">
        <v>89</v>
      </c>
      <c r="C308" s="3"/>
      <c r="D308" s="3"/>
      <c r="E308" s="3"/>
      <c r="F308" s="3"/>
      <c r="G308" s="3"/>
      <c r="H308" s="1813" t="s">
        <v>2662</v>
      </c>
      <c r="I308" s="1813"/>
      <c r="J308" s="1813"/>
      <c r="K308" s="1813"/>
      <c r="L308" s="1813"/>
      <c r="M308" s="1813"/>
      <c r="N308" s="4"/>
      <c r="O308" s="4"/>
      <c r="P308" s="35"/>
      <c r="Q308" s="35"/>
      <c r="R308" s="35"/>
      <c r="S308" s="3"/>
      <c r="T308" s="3" t="s">
        <v>89</v>
      </c>
      <c r="V308" s="3"/>
      <c r="W308" s="3"/>
      <c r="X308" s="3"/>
      <c r="Y308" s="3"/>
      <c r="AA308" s="1410"/>
      <c r="AB308" s="1410"/>
      <c r="AC308" s="1410"/>
      <c r="AD308" s="1410"/>
      <c r="AE308" s="1410"/>
      <c r="AF308" s="1410"/>
      <c r="AG308" s="4"/>
      <c r="AH308" s="4"/>
      <c r="AI308" s="35"/>
      <c r="AJ308" s="35"/>
      <c r="AK308" s="35"/>
    </row>
    <row r="309" spans="2:37" ht="12.95" customHeight="1">
      <c r="B309" s="3" t="s">
        <v>76</v>
      </c>
      <c r="C309" s="3"/>
      <c r="D309" s="3"/>
      <c r="E309" s="3"/>
      <c r="F309" s="3"/>
      <c r="G309" s="3"/>
      <c r="H309" s="1786" t="s">
        <v>2663</v>
      </c>
      <c r="I309" s="1786"/>
      <c r="J309" s="1786"/>
      <c r="K309" s="1786"/>
      <c r="L309" s="1786"/>
      <c r="M309" s="1786"/>
      <c r="N309" s="1815"/>
      <c r="O309" s="1815"/>
      <c r="P309" s="1815"/>
      <c r="Q309" s="1815"/>
      <c r="R309" s="1815"/>
      <c r="S309" s="3"/>
      <c r="T309" s="3" t="s">
        <v>76</v>
      </c>
      <c r="V309" s="3"/>
      <c r="W309" s="3"/>
      <c r="X309" s="3"/>
      <c r="Y309" s="3"/>
      <c r="AA309" s="1656"/>
      <c r="AB309" s="1656"/>
      <c r="AC309" s="1656"/>
      <c r="AD309" s="1656"/>
      <c r="AE309" s="1656"/>
      <c r="AF309" s="1656"/>
      <c r="AG309" s="1339"/>
      <c r="AH309" s="1339"/>
      <c r="AI309" s="1339"/>
      <c r="AJ309" s="1339"/>
      <c r="AK309" s="1339"/>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815" t="s">
        <v>2657</v>
      </c>
      <c r="I311" s="1815"/>
      <c r="J311" s="1815"/>
      <c r="K311" s="1815"/>
      <c r="L311" s="1815"/>
      <c r="M311" s="1815"/>
      <c r="N311" s="1815"/>
      <c r="O311" s="1815"/>
      <c r="P311" s="1815"/>
      <c r="Q311" s="1815"/>
      <c r="R311" s="1815"/>
      <c r="S311" s="3"/>
      <c r="T311" s="3" t="s">
        <v>365</v>
      </c>
      <c r="V311" s="3"/>
      <c r="W311" s="3"/>
      <c r="X311" s="3"/>
      <c r="Y311" s="3"/>
      <c r="AA311" s="1339" t="s">
        <v>2667</v>
      </c>
      <c r="AB311" s="1339"/>
      <c r="AC311" s="1339"/>
      <c r="AD311" s="1339"/>
      <c r="AE311" s="1339"/>
      <c r="AF311" s="1339"/>
      <c r="AG311" s="1339"/>
      <c r="AH311" s="1339"/>
      <c r="AI311" s="1339"/>
      <c r="AJ311" s="1339"/>
      <c r="AK311" s="1339"/>
    </row>
    <row r="312" spans="2:37" ht="12.95" customHeight="1">
      <c r="B312" s="3" t="s">
        <v>471</v>
      </c>
      <c r="C312" s="3"/>
      <c r="D312" s="3"/>
      <c r="E312" s="3"/>
      <c r="F312" s="3"/>
      <c r="H312" s="1786" t="s">
        <v>2658</v>
      </c>
      <c r="I312" s="1786"/>
      <c r="J312" s="1786"/>
      <c r="K312" s="1786"/>
      <c r="L312" s="1786"/>
      <c r="M312" s="1786"/>
      <c r="N312" s="1786"/>
      <c r="O312" s="1786"/>
      <c r="P312" s="1786"/>
      <c r="Q312" s="1786"/>
      <c r="R312" s="1786"/>
      <c r="S312" s="3"/>
      <c r="T312" s="3" t="s">
        <v>471</v>
      </c>
      <c r="V312" s="3"/>
      <c r="W312" s="3"/>
      <c r="X312" s="3"/>
      <c r="Y312" s="3"/>
      <c r="AA312" s="1656" t="s">
        <v>2668</v>
      </c>
      <c r="AB312" s="1656"/>
      <c r="AC312" s="1656"/>
      <c r="AD312" s="1656"/>
      <c r="AE312" s="1656"/>
      <c r="AF312" s="1656"/>
      <c r="AG312" s="1656"/>
      <c r="AH312" s="1656"/>
      <c r="AI312" s="1656"/>
      <c r="AJ312" s="1656"/>
      <c r="AK312" s="1656"/>
    </row>
    <row r="313" spans="2:37" ht="12.95" customHeight="1">
      <c r="B313" s="3" t="s">
        <v>472</v>
      </c>
      <c r="C313" s="3"/>
      <c r="D313" s="3"/>
      <c r="E313" s="3"/>
      <c r="F313" s="3"/>
      <c r="H313" s="1786" t="s">
        <v>2659</v>
      </c>
      <c r="I313" s="1786"/>
      <c r="J313" s="1786"/>
      <c r="K313" s="1786"/>
      <c r="L313" s="1786"/>
      <c r="M313" s="1786"/>
      <c r="N313" s="1786"/>
      <c r="O313" s="1786"/>
      <c r="P313" s="1786"/>
      <c r="Q313" s="1786"/>
      <c r="R313" s="1786"/>
      <c r="S313" s="3"/>
      <c r="T313" s="3" t="s">
        <v>75</v>
      </c>
      <c r="V313" s="3"/>
      <c r="W313" s="3"/>
      <c r="X313" s="3"/>
      <c r="Y313" s="3"/>
      <c r="AA313" s="1656" t="s">
        <v>2669</v>
      </c>
      <c r="AB313" s="1656"/>
      <c r="AC313" s="1656"/>
      <c r="AD313" s="1656"/>
      <c r="AE313" s="1656"/>
      <c r="AF313" s="1656"/>
      <c r="AG313" s="1656"/>
      <c r="AH313" s="1656"/>
      <c r="AI313" s="1656"/>
      <c r="AJ313" s="1656"/>
      <c r="AK313" s="1656"/>
    </row>
    <row r="314" spans="2:37" ht="12.95" customHeight="1">
      <c r="B314" s="3" t="s">
        <v>87</v>
      </c>
      <c r="C314" s="3"/>
      <c r="D314" s="3"/>
      <c r="E314" s="3"/>
      <c r="F314" s="3"/>
      <c r="H314" s="1786" t="s">
        <v>2660</v>
      </c>
      <c r="I314" s="1786"/>
      <c r="J314" s="1786"/>
      <c r="K314" s="1786"/>
      <c r="L314" s="1786"/>
      <c r="M314" s="1786"/>
      <c r="N314" s="1786"/>
      <c r="O314" s="1786"/>
      <c r="P314" s="1786"/>
      <c r="Q314" s="1786"/>
      <c r="R314" s="1786"/>
      <c r="S314" s="3"/>
      <c r="T314" s="3" t="s">
        <v>87</v>
      </c>
      <c r="V314" s="3"/>
      <c r="W314" s="3"/>
      <c r="X314" s="3"/>
      <c r="Y314" s="3"/>
      <c r="AA314" s="1656" t="s">
        <v>2670</v>
      </c>
      <c r="AB314" s="1656"/>
      <c r="AC314" s="1656"/>
      <c r="AD314" s="1656"/>
      <c r="AE314" s="1656"/>
      <c r="AF314" s="1656"/>
      <c r="AG314" s="1656"/>
      <c r="AH314" s="1656"/>
      <c r="AI314" s="1656"/>
      <c r="AJ314" s="1656"/>
      <c r="AK314" s="1656"/>
    </row>
    <row r="315" spans="2:37" ht="12.95" customHeight="1">
      <c r="B315" s="3" t="s">
        <v>88</v>
      </c>
      <c r="C315" s="3"/>
      <c r="D315" s="3"/>
      <c r="E315" s="3"/>
      <c r="F315" s="3"/>
      <c r="G315" s="3"/>
      <c r="H315" s="1814" t="s">
        <v>2661</v>
      </c>
      <c r="I315" s="1814"/>
      <c r="J315" s="1814"/>
      <c r="K315" s="1814"/>
      <c r="L315" s="1814"/>
      <c r="M315" s="1814"/>
      <c r="N315" s="4" t="s">
        <v>206</v>
      </c>
      <c r="O315" s="4"/>
      <c r="P315" s="1419"/>
      <c r="Q315" s="1419"/>
      <c r="R315" s="1419"/>
      <c r="S315" s="3"/>
      <c r="T315" s="3" t="s">
        <v>88</v>
      </c>
      <c r="V315" s="3"/>
      <c r="W315" s="3"/>
      <c r="X315" s="3"/>
      <c r="Y315" s="3"/>
      <c r="AA315" s="1431" t="s">
        <v>2671</v>
      </c>
      <c r="AB315" s="1431"/>
      <c r="AC315" s="1431"/>
      <c r="AD315" s="1431"/>
      <c r="AE315" s="1431"/>
      <c r="AF315" s="1431"/>
      <c r="AG315" s="4" t="s">
        <v>206</v>
      </c>
      <c r="AH315" s="4"/>
      <c r="AI315" s="1419"/>
      <c r="AJ315" s="1419"/>
      <c r="AK315" s="1419"/>
    </row>
    <row r="316" spans="2:37" ht="12.95" customHeight="1">
      <c r="B316" s="3" t="s">
        <v>89</v>
      </c>
      <c r="C316" s="3"/>
      <c r="D316" s="3"/>
      <c r="E316" s="3"/>
      <c r="F316" s="3"/>
      <c r="G316" s="3"/>
      <c r="H316" s="1813" t="s">
        <v>2662</v>
      </c>
      <c r="I316" s="1813"/>
      <c r="J316" s="1813"/>
      <c r="K316" s="1813"/>
      <c r="L316" s="1813"/>
      <c r="M316" s="1813"/>
      <c r="N316" s="4"/>
      <c r="O316" s="4"/>
      <c r="P316" s="35"/>
      <c r="Q316" s="35"/>
      <c r="R316" s="35"/>
      <c r="S316" s="3"/>
      <c r="T316" s="3" t="s">
        <v>89</v>
      </c>
      <c r="V316" s="3"/>
      <c r="W316" s="3"/>
      <c r="X316" s="3"/>
      <c r="Y316" s="3"/>
      <c r="AA316" s="1410" t="s">
        <v>591</v>
      </c>
      <c r="AB316" s="1410"/>
      <c r="AC316" s="1410"/>
      <c r="AD316" s="1410"/>
      <c r="AE316" s="1410"/>
      <c r="AF316" s="1410"/>
      <c r="AG316" s="4"/>
      <c r="AH316" s="4"/>
      <c r="AI316" s="35"/>
      <c r="AJ316" s="35"/>
      <c r="AK316" s="35"/>
    </row>
    <row r="317" spans="2:37" ht="12.95" customHeight="1">
      <c r="B317" s="3" t="s">
        <v>76</v>
      </c>
      <c r="C317" s="3"/>
      <c r="D317" s="3"/>
      <c r="E317" s="3"/>
      <c r="F317" s="3"/>
      <c r="G317" s="3"/>
      <c r="H317" s="1786" t="s">
        <v>2663</v>
      </c>
      <c r="I317" s="1786"/>
      <c r="J317" s="1786"/>
      <c r="K317" s="1786"/>
      <c r="L317" s="1786"/>
      <c r="M317" s="1786"/>
      <c r="N317" s="1815"/>
      <c r="O317" s="1815"/>
      <c r="P317" s="1815"/>
      <c r="Q317" s="1815"/>
      <c r="R317" s="1815"/>
      <c r="S317" s="3"/>
      <c r="T317" s="3" t="s">
        <v>76</v>
      </c>
      <c r="V317" s="3"/>
      <c r="W317" s="3"/>
      <c r="X317" s="3"/>
      <c r="Y317" s="3"/>
      <c r="AA317" s="1656" t="s">
        <v>2672</v>
      </c>
      <c r="AB317" s="1656"/>
      <c r="AC317" s="1656"/>
      <c r="AD317" s="1656"/>
      <c r="AE317" s="1656"/>
      <c r="AF317" s="1656"/>
      <c r="AG317" s="1339"/>
      <c r="AH317" s="1339"/>
      <c r="AI317" s="1339"/>
      <c r="AJ317" s="1339"/>
      <c r="AK317" s="1339"/>
    </row>
    <row r="318" spans="2:37" ht="12.95" customHeight="1"/>
    <row r="319" spans="2:37" ht="12.95" customHeight="1">
      <c r="B319" s="4" t="s">
        <v>908</v>
      </c>
      <c r="C319" s="3"/>
      <c r="D319" s="3"/>
      <c r="E319" s="3"/>
      <c r="F319" s="3"/>
      <c r="H319" s="1339"/>
      <c r="I319" s="1339"/>
      <c r="J319" s="1339"/>
      <c r="K319" s="1339"/>
      <c r="L319" s="1339"/>
      <c r="M319" s="1339"/>
      <c r="N319" s="1339"/>
      <c r="O319" s="1339"/>
      <c r="P319" s="1339"/>
      <c r="Q319" s="1339"/>
      <c r="R319" s="1339"/>
      <c r="T319" s="3" t="s">
        <v>366</v>
      </c>
      <c r="V319" s="3"/>
      <c r="W319" s="3"/>
      <c r="X319" s="3"/>
      <c r="Y319" s="3"/>
      <c r="AA319" s="1815" t="s">
        <v>2657</v>
      </c>
      <c r="AB319" s="1815"/>
      <c r="AC319" s="1815"/>
      <c r="AD319" s="1815"/>
      <c r="AE319" s="1815"/>
      <c r="AF319" s="1815"/>
      <c r="AG319" s="1815"/>
      <c r="AH319" s="1815"/>
      <c r="AI319" s="1815"/>
      <c r="AJ319" s="1815"/>
      <c r="AK319" s="1815"/>
    </row>
    <row r="320" spans="2:37" ht="12.95" customHeight="1">
      <c r="B320" s="3" t="s">
        <v>471</v>
      </c>
      <c r="C320" s="3"/>
      <c r="D320" s="3"/>
      <c r="E320" s="3"/>
      <c r="F320" s="3"/>
      <c r="H320" s="1656"/>
      <c r="I320" s="1656"/>
      <c r="J320" s="1656"/>
      <c r="K320" s="1656"/>
      <c r="L320" s="1656"/>
      <c r="M320" s="1656"/>
      <c r="N320" s="1656"/>
      <c r="O320" s="1656"/>
      <c r="P320" s="1656"/>
      <c r="Q320" s="1656"/>
      <c r="R320" s="1656"/>
      <c r="T320" s="3" t="s">
        <v>471</v>
      </c>
      <c r="V320" s="3"/>
      <c r="W320" s="3"/>
      <c r="X320" s="3"/>
      <c r="Y320" s="3"/>
      <c r="AA320" s="1786" t="s">
        <v>2658</v>
      </c>
      <c r="AB320" s="1786"/>
      <c r="AC320" s="1786"/>
      <c r="AD320" s="1786"/>
      <c r="AE320" s="1786"/>
      <c r="AF320" s="1786"/>
      <c r="AG320" s="1786"/>
      <c r="AH320" s="1786"/>
      <c r="AI320" s="1786"/>
      <c r="AJ320" s="1786"/>
      <c r="AK320" s="1786"/>
    </row>
    <row r="321" spans="2:37" ht="12.95" customHeight="1">
      <c r="B321" s="3" t="s">
        <v>472</v>
      </c>
      <c r="C321" s="3"/>
      <c r="D321" s="3"/>
      <c r="E321" s="3"/>
      <c r="F321" s="3"/>
      <c r="H321" s="1656"/>
      <c r="I321" s="1656"/>
      <c r="J321" s="1656"/>
      <c r="K321" s="1656"/>
      <c r="L321" s="1656"/>
      <c r="M321" s="1656"/>
      <c r="N321" s="1656"/>
      <c r="O321" s="1656"/>
      <c r="P321" s="1656"/>
      <c r="Q321" s="1656"/>
      <c r="R321" s="1656"/>
      <c r="T321" s="3" t="s">
        <v>75</v>
      </c>
      <c r="V321" s="3"/>
      <c r="W321" s="3"/>
      <c r="X321" s="3"/>
      <c r="Y321" s="3"/>
      <c r="AA321" s="1786" t="s">
        <v>2659</v>
      </c>
      <c r="AB321" s="1786"/>
      <c r="AC321" s="1786"/>
      <c r="AD321" s="1786"/>
      <c r="AE321" s="1786"/>
      <c r="AF321" s="1786"/>
      <c r="AG321" s="1786"/>
      <c r="AH321" s="1786"/>
      <c r="AI321" s="1786"/>
      <c r="AJ321" s="1786"/>
      <c r="AK321" s="1786"/>
    </row>
    <row r="322" spans="2:37" ht="12.95" customHeight="1">
      <c r="B322" s="3" t="s">
        <v>87</v>
      </c>
      <c r="C322" s="3"/>
      <c r="D322" s="3"/>
      <c r="E322" s="3"/>
      <c r="F322" s="3"/>
      <c r="H322" s="1656"/>
      <c r="I322" s="1656"/>
      <c r="J322" s="1656"/>
      <c r="K322" s="1656"/>
      <c r="L322" s="1656"/>
      <c r="M322" s="1656"/>
      <c r="N322" s="1656"/>
      <c r="O322" s="1656"/>
      <c r="P322" s="1656"/>
      <c r="Q322" s="1656"/>
      <c r="R322" s="1656"/>
      <c r="T322" s="3" t="s">
        <v>87</v>
      </c>
      <c r="V322" s="3"/>
      <c r="W322" s="3"/>
      <c r="X322" s="3"/>
      <c r="Y322" s="3"/>
      <c r="AA322" s="1786" t="s">
        <v>2664</v>
      </c>
      <c r="AB322" s="1786"/>
      <c r="AC322" s="1786"/>
      <c r="AD322" s="1786"/>
      <c r="AE322" s="1786"/>
      <c r="AF322" s="1786"/>
      <c r="AG322" s="1786"/>
      <c r="AH322" s="1786"/>
      <c r="AI322" s="1786"/>
      <c r="AJ322" s="1786"/>
      <c r="AK322" s="1786"/>
    </row>
    <row r="323" spans="2:37" ht="12.95" customHeight="1">
      <c r="B323" s="3" t="s">
        <v>88</v>
      </c>
      <c r="C323" s="3"/>
      <c r="D323" s="3"/>
      <c r="E323" s="3"/>
      <c r="F323" s="3"/>
      <c r="G323" s="3"/>
      <c r="H323" s="1431"/>
      <c r="I323" s="1431"/>
      <c r="J323" s="1431"/>
      <c r="K323" s="1431"/>
      <c r="L323" s="1431"/>
      <c r="M323" s="1431"/>
      <c r="N323" s="4" t="s">
        <v>206</v>
      </c>
      <c r="O323" s="4"/>
      <c r="P323" s="1419"/>
      <c r="Q323" s="1419"/>
      <c r="R323" s="1419"/>
      <c r="S323" s="3"/>
      <c r="T323" s="3" t="s">
        <v>88</v>
      </c>
      <c r="V323" s="3"/>
      <c r="W323" s="3"/>
      <c r="X323" s="3"/>
      <c r="Y323" s="3"/>
      <c r="AA323" s="1814" t="s">
        <v>2665</v>
      </c>
      <c r="AB323" s="1814"/>
      <c r="AC323" s="1814"/>
      <c r="AD323" s="1814"/>
      <c r="AE323" s="1814"/>
      <c r="AF323" s="1814"/>
      <c r="AG323" s="4" t="s">
        <v>206</v>
      </c>
      <c r="AH323" s="4"/>
      <c r="AI323" s="1419"/>
      <c r="AJ323" s="1419"/>
      <c r="AK323" s="1419"/>
    </row>
    <row r="324" spans="2:37" ht="12.95" customHeight="1">
      <c r="B324" s="3" t="s">
        <v>89</v>
      </c>
      <c r="C324" s="3"/>
      <c r="D324" s="3"/>
      <c r="E324" s="3"/>
      <c r="F324" s="3"/>
      <c r="G324" s="3"/>
      <c r="H324" s="1410"/>
      <c r="I324" s="1410"/>
      <c r="J324" s="1410"/>
      <c r="K324" s="1410"/>
      <c r="L324" s="1410"/>
      <c r="M324" s="1410"/>
      <c r="N324" s="4"/>
      <c r="O324" s="4"/>
      <c r="P324" s="35"/>
      <c r="Q324" s="35"/>
      <c r="R324" s="35"/>
      <c r="S324" s="3"/>
      <c r="T324" s="3" t="s">
        <v>89</v>
      </c>
      <c r="V324" s="3"/>
      <c r="W324" s="3"/>
      <c r="X324" s="3"/>
      <c r="Y324" s="3"/>
      <c r="AA324" s="1410"/>
      <c r="AB324" s="1410"/>
      <c r="AC324" s="1410"/>
      <c r="AD324" s="1410"/>
      <c r="AE324" s="1410"/>
      <c r="AF324" s="1410"/>
      <c r="AG324" s="4"/>
      <c r="AH324" s="4"/>
      <c r="AI324" s="35"/>
      <c r="AJ324" s="35"/>
      <c r="AK324" s="35"/>
    </row>
    <row r="325" spans="2:37" ht="12.95" customHeight="1">
      <c r="B325" s="3" t="s">
        <v>76</v>
      </c>
      <c r="C325" s="3"/>
      <c r="D325" s="3"/>
      <c r="E325" s="3"/>
      <c r="F325" s="3"/>
      <c r="G325" s="3"/>
      <c r="H325" s="1656"/>
      <c r="I325" s="1656"/>
      <c r="J325" s="1656"/>
      <c r="K325" s="1656"/>
      <c r="L325" s="1656"/>
      <c r="M325" s="1656"/>
      <c r="N325" s="1339"/>
      <c r="O325" s="1339"/>
      <c r="P325" s="1339"/>
      <c r="Q325" s="1339"/>
      <c r="R325" s="1339"/>
      <c r="S325" s="3"/>
      <c r="T325" s="3" t="s">
        <v>76</v>
      </c>
      <c r="V325" s="3"/>
      <c r="W325" s="3"/>
      <c r="X325" s="3"/>
      <c r="Y325" s="3"/>
      <c r="AA325" s="1786" t="s">
        <v>2666</v>
      </c>
      <c r="AB325" s="1786"/>
      <c r="AC325" s="1786"/>
      <c r="AD325" s="1786"/>
      <c r="AE325" s="1786"/>
      <c r="AF325" s="1786"/>
      <c r="AG325" s="1815"/>
      <c r="AH325" s="1815"/>
      <c r="AI325" s="1815"/>
      <c r="AJ325" s="1815"/>
      <c r="AK325" s="1815"/>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39"/>
      <c r="I327" s="1339"/>
      <c r="J327" s="1339"/>
      <c r="K327" s="1339"/>
      <c r="L327" s="1339"/>
      <c r="M327" s="1339"/>
      <c r="N327" s="1339"/>
      <c r="O327" s="1339"/>
      <c r="P327" s="1339"/>
      <c r="Q327" s="1339"/>
      <c r="R327" s="1339"/>
      <c r="T327" s="3" t="s">
        <v>368</v>
      </c>
      <c r="V327" s="3"/>
      <c r="W327" s="3"/>
      <c r="X327" s="3"/>
      <c r="Y327" s="3"/>
      <c r="AA327" s="1339"/>
      <c r="AB327" s="1339"/>
      <c r="AC327" s="1339"/>
      <c r="AD327" s="1339"/>
      <c r="AE327" s="1339"/>
      <c r="AF327" s="1339"/>
      <c r="AG327" s="1339"/>
      <c r="AH327" s="1339"/>
      <c r="AI327" s="1339"/>
      <c r="AJ327" s="1339"/>
      <c r="AK327" s="1339"/>
    </row>
    <row r="328" spans="2:37" ht="12.95" customHeight="1">
      <c r="B328" s="3" t="s">
        <v>471</v>
      </c>
      <c r="C328" s="3"/>
      <c r="D328" s="3"/>
      <c r="E328" s="3"/>
      <c r="F328" s="3"/>
      <c r="H328" s="1656"/>
      <c r="I328" s="1656"/>
      <c r="J328" s="1656"/>
      <c r="K328" s="1656"/>
      <c r="L328" s="1656"/>
      <c r="M328" s="1656"/>
      <c r="N328" s="1656"/>
      <c r="O328" s="1656"/>
      <c r="P328" s="1656"/>
      <c r="Q328" s="1656"/>
      <c r="R328" s="1656"/>
      <c r="T328" s="3" t="s">
        <v>471</v>
      </c>
      <c r="V328" s="3"/>
      <c r="W328" s="3"/>
      <c r="X328" s="3"/>
      <c r="Y328" s="3"/>
      <c r="AA328" s="1656"/>
      <c r="AB328" s="1656"/>
      <c r="AC328" s="1656"/>
      <c r="AD328" s="1656"/>
      <c r="AE328" s="1656"/>
      <c r="AF328" s="1656"/>
      <c r="AG328" s="1656"/>
      <c r="AH328" s="1656"/>
      <c r="AI328" s="1656"/>
      <c r="AJ328" s="1656"/>
      <c r="AK328" s="1656"/>
    </row>
    <row r="329" spans="2:37" ht="12.95" customHeight="1">
      <c r="B329" s="3" t="s">
        <v>472</v>
      </c>
      <c r="C329" s="3"/>
      <c r="D329" s="3"/>
      <c r="E329" s="3"/>
      <c r="F329" s="3"/>
      <c r="H329" s="1656"/>
      <c r="I329" s="1656"/>
      <c r="J329" s="1656"/>
      <c r="K329" s="1656"/>
      <c r="L329" s="1656"/>
      <c r="M329" s="1656"/>
      <c r="N329" s="1656"/>
      <c r="O329" s="1656"/>
      <c r="P329" s="1656"/>
      <c r="Q329" s="1656"/>
      <c r="R329" s="1656"/>
      <c r="T329" s="3" t="s">
        <v>75</v>
      </c>
      <c r="V329" s="3"/>
      <c r="W329" s="3"/>
      <c r="X329" s="3"/>
      <c r="Y329" s="3"/>
      <c r="AA329" s="1656"/>
      <c r="AB329" s="1656"/>
      <c r="AC329" s="1656"/>
      <c r="AD329" s="1656"/>
      <c r="AE329" s="1656"/>
      <c r="AF329" s="1656"/>
      <c r="AG329" s="1656"/>
      <c r="AH329" s="1656"/>
      <c r="AI329" s="1656"/>
      <c r="AJ329" s="1656"/>
      <c r="AK329" s="1656"/>
    </row>
    <row r="330" spans="2:37" ht="12.95" customHeight="1">
      <c r="B330" s="3" t="s">
        <v>87</v>
      </c>
      <c r="C330" s="3"/>
      <c r="D330" s="3"/>
      <c r="E330" s="3"/>
      <c r="F330" s="3"/>
      <c r="H330" s="1656"/>
      <c r="I330" s="1656"/>
      <c r="J330" s="1656"/>
      <c r="K330" s="1656"/>
      <c r="L330" s="1656"/>
      <c r="M330" s="1656"/>
      <c r="N330" s="1656"/>
      <c r="O330" s="1656"/>
      <c r="P330" s="1656"/>
      <c r="Q330" s="1656"/>
      <c r="R330" s="1656"/>
      <c r="T330" s="3" t="s">
        <v>87</v>
      </c>
      <c r="V330" s="3"/>
      <c r="W330" s="3"/>
      <c r="X330" s="3"/>
      <c r="Y330" s="3"/>
      <c r="AA330" s="1656"/>
      <c r="AB330" s="1656"/>
      <c r="AC330" s="1656"/>
      <c r="AD330" s="1656"/>
      <c r="AE330" s="1656"/>
      <c r="AF330" s="1656"/>
      <c r="AG330" s="1656"/>
      <c r="AH330" s="1656"/>
      <c r="AI330" s="1656"/>
      <c r="AJ330" s="1656"/>
      <c r="AK330" s="1656"/>
    </row>
    <row r="331" spans="2:37" ht="12.95" customHeight="1">
      <c r="B331" s="3" t="s">
        <v>88</v>
      </c>
      <c r="C331" s="3"/>
      <c r="D331" s="3"/>
      <c r="E331" s="3"/>
      <c r="F331" s="3"/>
      <c r="G331" s="3"/>
      <c r="H331" s="1431"/>
      <c r="I331" s="1431"/>
      <c r="J331" s="1431"/>
      <c r="K331" s="1431"/>
      <c r="L331" s="1431"/>
      <c r="M331" s="1431"/>
      <c r="N331" s="4" t="s">
        <v>206</v>
      </c>
      <c r="O331" s="4"/>
      <c r="P331" s="1419"/>
      <c r="Q331" s="1419"/>
      <c r="R331" s="1419"/>
      <c r="S331" s="3"/>
      <c r="T331" s="3" t="s">
        <v>88</v>
      </c>
      <c r="V331" s="3"/>
      <c r="W331" s="3"/>
      <c r="X331" s="3"/>
      <c r="Y331" s="3"/>
      <c r="AA331" s="1431"/>
      <c r="AB331" s="1431"/>
      <c r="AC331" s="1431"/>
      <c r="AD331" s="1431"/>
      <c r="AE331" s="1431"/>
      <c r="AF331" s="1431"/>
      <c r="AG331" s="4" t="s">
        <v>206</v>
      </c>
      <c r="AH331" s="4"/>
      <c r="AI331" s="1419"/>
      <c r="AJ331" s="1419"/>
      <c r="AK331" s="1419"/>
    </row>
    <row r="332" spans="2:37" ht="12.95" customHeight="1">
      <c r="B332" s="3" t="s">
        <v>89</v>
      </c>
      <c r="C332" s="3"/>
      <c r="D332" s="3"/>
      <c r="E332" s="3"/>
      <c r="F332" s="3"/>
      <c r="G332" s="3"/>
      <c r="H332" s="1410"/>
      <c r="I332" s="1410"/>
      <c r="J332" s="1410"/>
      <c r="K332" s="1410"/>
      <c r="L332" s="1410"/>
      <c r="M332" s="1410"/>
      <c r="N332" s="4"/>
      <c r="O332" s="4"/>
      <c r="P332" s="35"/>
      <c r="Q332" s="35"/>
      <c r="R332" s="35"/>
      <c r="S332" s="3"/>
      <c r="T332" s="3" t="s">
        <v>89</v>
      </c>
      <c r="V332" s="3"/>
      <c r="W332" s="3"/>
      <c r="X332" s="3"/>
      <c r="Y332" s="3"/>
      <c r="AA332" s="1410"/>
      <c r="AB332" s="1410"/>
      <c r="AC332" s="1410"/>
      <c r="AD332" s="1410"/>
      <c r="AE332" s="1410"/>
      <c r="AF332" s="1410"/>
      <c r="AG332" s="4"/>
      <c r="AH332" s="4"/>
      <c r="AI332" s="35"/>
      <c r="AJ332" s="35"/>
      <c r="AK332" s="35"/>
    </row>
    <row r="333" spans="2:37" ht="12.95" customHeight="1">
      <c r="B333" s="3" t="s">
        <v>76</v>
      </c>
      <c r="C333" s="3"/>
      <c r="D333" s="3"/>
      <c r="E333" s="3"/>
      <c r="F333" s="3"/>
      <c r="G333" s="3"/>
      <c r="H333" s="1656"/>
      <c r="I333" s="1656"/>
      <c r="J333" s="1656"/>
      <c r="K333" s="1656"/>
      <c r="L333" s="1656"/>
      <c r="M333" s="1656"/>
      <c r="N333" s="1339"/>
      <c r="O333" s="1339"/>
      <c r="P333" s="1339"/>
      <c r="Q333" s="1339"/>
      <c r="R333" s="1339"/>
      <c r="S333" s="3"/>
      <c r="T333" s="3" t="s">
        <v>76</v>
      </c>
      <c r="V333" s="3"/>
      <c r="W333" s="3"/>
      <c r="X333" s="3"/>
      <c r="Y333" s="3"/>
      <c r="AA333" s="1656"/>
      <c r="AB333" s="1656"/>
      <c r="AC333" s="1656"/>
      <c r="AD333" s="1656"/>
      <c r="AE333" s="1656"/>
      <c r="AF333" s="1656"/>
      <c r="AG333" s="1339"/>
      <c r="AH333" s="1339"/>
      <c r="AI333" s="1339"/>
      <c r="AJ333" s="1339"/>
      <c r="AK333" s="1339"/>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39" t="s">
        <v>2673</v>
      </c>
      <c r="I335" s="1339"/>
      <c r="J335" s="1339"/>
      <c r="K335" s="1339"/>
      <c r="L335" s="1339"/>
      <c r="M335" s="1339"/>
      <c r="N335" s="1339"/>
      <c r="O335" s="1339"/>
      <c r="P335" s="1339"/>
      <c r="Q335" s="1339"/>
      <c r="R335" s="1339"/>
      <c r="T335" s="204" t="s">
        <v>886</v>
      </c>
      <c r="V335" s="3"/>
      <c r="W335" s="3"/>
      <c r="X335" s="3"/>
      <c r="Y335" s="3"/>
      <c r="AA335" s="1418" t="s">
        <v>2613</v>
      </c>
      <c r="AB335" s="1339"/>
      <c r="AC335" s="1339"/>
      <c r="AD335" s="1339"/>
      <c r="AE335" s="1339"/>
      <c r="AF335" s="1339"/>
      <c r="AG335" s="1339"/>
      <c r="AH335" s="1339"/>
      <c r="AI335" s="1339"/>
      <c r="AJ335" s="1339"/>
      <c r="AK335" s="1339"/>
    </row>
    <row r="336" spans="2:37" ht="12.95" customHeight="1">
      <c r="B336" s="3" t="s">
        <v>471</v>
      </c>
      <c r="C336" s="3"/>
      <c r="D336" s="3"/>
      <c r="E336" s="3"/>
      <c r="F336" s="3"/>
      <c r="H336" s="1656" t="s">
        <v>2674</v>
      </c>
      <c r="I336" s="1656"/>
      <c r="J336" s="1656"/>
      <c r="K336" s="1656"/>
      <c r="L336" s="1656"/>
      <c r="M336" s="1656"/>
      <c r="N336" s="1656"/>
      <c r="O336" s="1656"/>
      <c r="P336" s="1656"/>
      <c r="Q336" s="1656"/>
      <c r="R336" s="1656"/>
      <c r="T336" s="3" t="s">
        <v>471</v>
      </c>
      <c r="V336" s="3"/>
      <c r="W336" s="3"/>
      <c r="X336" s="3"/>
      <c r="Y336" s="3"/>
      <c r="AA336" s="1656" t="s">
        <v>2684</v>
      </c>
      <c r="AB336" s="1656"/>
      <c r="AC336" s="1656"/>
      <c r="AD336" s="1656"/>
      <c r="AE336" s="1656"/>
      <c r="AF336" s="1656"/>
      <c r="AG336" s="1656"/>
      <c r="AH336" s="1656"/>
      <c r="AI336" s="1656"/>
      <c r="AJ336" s="1656"/>
      <c r="AK336" s="1656"/>
    </row>
    <row r="337" spans="1:66" ht="12.95" customHeight="1">
      <c r="B337" s="3" t="s">
        <v>75</v>
      </c>
      <c r="C337" s="3"/>
      <c r="D337" s="3"/>
      <c r="E337" s="3"/>
      <c r="F337" s="3"/>
      <c r="H337" s="1656" t="s">
        <v>2675</v>
      </c>
      <c r="I337" s="1656"/>
      <c r="J337" s="1656"/>
      <c r="K337" s="1656"/>
      <c r="L337" s="1656"/>
      <c r="M337" s="1656"/>
      <c r="N337" s="1656"/>
      <c r="O337" s="1656"/>
      <c r="P337" s="1656"/>
      <c r="Q337" s="1656"/>
      <c r="R337" s="1656"/>
      <c r="T337" s="3" t="s">
        <v>75</v>
      </c>
      <c r="V337" s="3"/>
      <c r="W337" s="3"/>
      <c r="X337" s="3"/>
      <c r="Y337" s="3"/>
      <c r="AA337" s="1656" t="s">
        <v>2685</v>
      </c>
      <c r="AB337" s="1656"/>
      <c r="AC337" s="1656"/>
      <c r="AD337" s="1656"/>
      <c r="AE337" s="1656"/>
      <c r="AF337" s="1656"/>
      <c r="AG337" s="1656"/>
      <c r="AH337" s="1656"/>
      <c r="AI337" s="1656"/>
      <c r="AJ337" s="1656"/>
      <c r="AK337" s="1656"/>
    </row>
    <row r="338" spans="1:66" ht="12.95" customHeight="1">
      <c r="B338" s="3" t="s">
        <v>87</v>
      </c>
      <c r="C338" s="3"/>
      <c r="D338" s="3"/>
      <c r="E338" s="3"/>
      <c r="F338" s="3"/>
      <c r="G338" s="3"/>
      <c r="H338" s="1656" t="s">
        <v>2676</v>
      </c>
      <c r="I338" s="1656"/>
      <c r="J338" s="1656"/>
      <c r="K338" s="1656"/>
      <c r="L338" s="1656"/>
      <c r="M338" s="1656"/>
      <c r="N338" s="1656"/>
      <c r="O338" s="1656"/>
      <c r="P338" s="1656"/>
      <c r="Q338" s="1656"/>
      <c r="R338" s="1656"/>
      <c r="T338" s="3" t="s">
        <v>87</v>
      </c>
      <c r="V338" s="3"/>
      <c r="W338" s="3"/>
      <c r="X338" s="3"/>
      <c r="Y338" s="3"/>
      <c r="AA338" s="1532" t="s">
        <v>2686</v>
      </c>
      <c r="AB338" s="1656"/>
      <c r="AC338" s="1656"/>
      <c r="AD338" s="1656"/>
      <c r="AE338" s="1656"/>
      <c r="AF338" s="1656"/>
      <c r="AG338" s="1656"/>
      <c r="AH338" s="1656"/>
      <c r="AI338" s="1656"/>
      <c r="AJ338" s="1656"/>
      <c r="AK338" s="1656"/>
    </row>
    <row r="339" spans="1:66" ht="12.95" customHeight="1">
      <c r="B339" s="3" t="s">
        <v>88</v>
      </c>
      <c r="C339" s="3"/>
      <c r="D339" s="3"/>
      <c r="E339" s="3"/>
      <c r="F339" s="3"/>
      <c r="G339" s="3"/>
      <c r="H339" s="1431" t="s">
        <v>2677</v>
      </c>
      <c r="I339" s="1431"/>
      <c r="J339" s="1431"/>
      <c r="K339" s="1431"/>
      <c r="L339" s="1431"/>
      <c r="M339" s="1431"/>
      <c r="N339" s="4" t="s">
        <v>206</v>
      </c>
      <c r="O339" s="4"/>
      <c r="P339" s="1419"/>
      <c r="Q339" s="1419"/>
      <c r="R339" s="1419"/>
      <c r="S339" s="3"/>
      <c r="T339" s="3" t="s">
        <v>88</v>
      </c>
      <c r="V339" s="3"/>
      <c r="W339" s="3"/>
      <c r="X339" s="3"/>
      <c r="Y339" s="3"/>
      <c r="AA339" s="1431" t="s">
        <v>2687</v>
      </c>
      <c r="AB339" s="1431"/>
      <c r="AC339" s="1431"/>
      <c r="AD339" s="1431"/>
      <c r="AE339" s="1431"/>
      <c r="AF339" s="1431"/>
      <c r="AG339" s="4" t="s">
        <v>206</v>
      </c>
      <c r="AH339" s="4"/>
      <c r="AI339" s="1419"/>
      <c r="AJ339" s="1419"/>
      <c r="AK339" s="1419"/>
    </row>
    <row r="340" spans="1:66" ht="12.95" customHeight="1">
      <c r="B340" s="3" t="s">
        <v>89</v>
      </c>
      <c r="C340" s="3"/>
      <c r="D340" s="3"/>
      <c r="E340" s="3"/>
      <c r="F340" s="3"/>
      <c r="G340" s="3"/>
      <c r="H340" s="1410" t="s">
        <v>2678</v>
      </c>
      <c r="I340" s="1410"/>
      <c r="J340" s="1410"/>
      <c r="K340" s="1410"/>
      <c r="L340" s="1410"/>
      <c r="M340" s="1410"/>
      <c r="N340" s="4"/>
      <c r="O340" s="4"/>
      <c r="P340" s="35"/>
      <c r="Q340" s="35"/>
      <c r="R340" s="35"/>
      <c r="S340" s="3"/>
      <c r="T340" s="3" t="s">
        <v>89</v>
      </c>
      <c r="V340" s="3"/>
      <c r="W340" s="3"/>
      <c r="X340" s="3"/>
      <c r="Y340" s="3"/>
      <c r="AA340" s="1410" t="s">
        <v>2688</v>
      </c>
      <c r="AB340" s="1410"/>
      <c r="AC340" s="1410"/>
      <c r="AD340" s="1410"/>
      <c r="AE340" s="1410"/>
      <c r="AF340" s="1410"/>
      <c r="AG340" s="4"/>
      <c r="AH340" s="4"/>
      <c r="AI340" s="35"/>
      <c r="AJ340" s="35"/>
      <c r="AK340" s="35"/>
    </row>
    <row r="341" spans="1:66" ht="12.95" customHeight="1">
      <c r="B341" s="3" t="s">
        <v>76</v>
      </c>
      <c r="C341" s="3"/>
      <c r="D341" s="3"/>
      <c r="E341" s="3"/>
      <c r="F341" s="3"/>
      <c r="G341" s="3"/>
      <c r="H341" s="1656" t="s">
        <v>2679</v>
      </c>
      <c r="I341" s="1656"/>
      <c r="J341" s="1656"/>
      <c r="K341" s="1656"/>
      <c r="L341" s="1656"/>
      <c r="M341" s="1656"/>
      <c r="N341" s="1339"/>
      <c r="O341" s="1339"/>
      <c r="P341" s="1339"/>
      <c r="Q341" s="1339"/>
      <c r="R341" s="1339"/>
      <c r="S341" s="3"/>
      <c r="T341" s="3" t="s">
        <v>76</v>
      </c>
      <c r="V341" s="3"/>
      <c r="W341" s="3"/>
      <c r="X341" s="3"/>
      <c r="Y341" s="3"/>
      <c r="AA341" s="1656" t="s">
        <v>2689</v>
      </c>
      <c r="AB341" s="1656"/>
      <c r="AC341" s="1656"/>
      <c r="AD341" s="1656"/>
      <c r="AE341" s="1656"/>
      <c r="AF341" s="1656"/>
      <c r="AG341" s="1339"/>
      <c r="AH341" s="1339"/>
      <c r="AI341" s="1339"/>
      <c r="AJ341" s="1339"/>
      <c r="AK341" s="1339"/>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39"/>
      <c r="Q343" s="1339"/>
      <c r="R343" s="1339"/>
      <c r="S343" s="1339"/>
      <c r="T343" s="1339"/>
      <c r="U343" s="1339"/>
      <c r="V343" s="1339"/>
      <c r="W343" s="1339"/>
      <c r="X343" s="1339"/>
      <c r="Y343" s="1339"/>
      <c r="Z343" s="1339"/>
      <c r="AA343" s="1339"/>
      <c r="AB343" s="1339"/>
      <c r="AC343" s="1339"/>
      <c r="AD343" s="1339"/>
      <c r="AE343" s="1339"/>
      <c r="BN343" t="s">
        <v>669</v>
      </c>
    </row>
    <row r="344" spans="1:66" ht="12.95" customHeight="1">
      <c r="B344" s="4"/>
      <c r="C344" s="4"/>
      <c r="D344" s="4"/>
      <c r="E344" s="4"/>
      <c r="F344" s="4"/>
      <c r="I344" s="4" t="s">
        <v>471</v>
      </c>
      <c r="P344" s="1656"/>
      <c r="Q344" s="1656"/>
      <c r="R344" s="1656"/>
      <c r="S344" s="1656"/>
      <c r="T344" s="1656"/>
      <c r="U344" s="1656"/>
      <c r="V344" s="1656"/>
      <c r="W344" s="1656"/>
      <c r="X344" s="1656"/>
      <c r="Y344" s="1656"/>
      <c r="Z344" s="1656"/>
      <c r="AA344" s="1656"/>
      <c r="AB344" s="1656"/>
      <c r="AC344" s="1656"/>
      <c r="AD344" s="1656"/>
      <c r="AE344" s="1656"/>
      <c r="BN344" t="s">
        <v>545</v>
      </c>
    </row>
    <row r="345" spans="1:66" ht="12.95" customHeight="1">
      <c r="B345" s="4"/>
      <c r="C345" s="4"/>
      <c r="D345" s="4"/>
      <c r="E345" s="4"/>
      <c r="F345" s="4"/>
      <c r="I345" s="4" t="s">
        <v>75</v>
      </c>
      <c r="P345" s="1656"/>
      <c r="Q345" s="1656"/>
      <c r="R345" s="1656"/>
      <c r="S345" s="1656"/>
      <c r="T345" s="1656"/>
      <c r="U345" s="1656"/>
      <c r="V345" s="1656"/>
      <c r="W345" s="1656"/>
      <c r="X345" s="1656"/>
      <c r="Y345" s="1656"/>
      <c r="Z345" s="1656"/>
      <c r="AA345" s="1656"/>
      <c r="AB345" s="1656"/>
      <c r="AC345" s="1656"/>
      <c r="AD345" s="1656"/>
      <c r="AE345" s="1656"/>
    </row>
    <row r="346" spans="1:66" ht="12.95" customHeight="1">
      <c r="B346" s="4"/>
      <c r="C346" s="4"/>
      <c r="D346" s="4"/>
      <c r="E346" s="4"/>
      <c r="F346" s="4"/>
      <c r="G346" s="4"/>
      <c r="I346" s="4" t="s">
        <v>87</v>
      </c>
      <c r="P346" s="1656"/>
      <c r="Q346" s="1656"/>
      <c r="R346" s="1656"/>
      <c r="S346" s="1656"/>
      <c r="T346" s="1656"/>
      <c r="U346" s="1656"/>
      <c r="V346" s="1656"/>
      <c r="W346" s="1656"/>
      <c r="X346" s="1656"/>
      <c r="Y346" s="1656"/>
      <c r="Z346" s="1656"/>
      <c r="AA346" s="1656"/>
      <c r="AB346" s="1656"/>
      <c r="AC346" s="1656"/>
      <c r="AD346" s="1656"/>
      <c r="AE346" s="1656"/>
    </row>
    <row r="347" spans="1:66" ht="12.95" customHeight="1">
      <c r="B347" s="4"/>
      <c r="C347" s="4"/>
      <c r="D347" s="4"/>
      <c r="E347" s="4"/>
      <c r="F347" s="4"/>
      <c r="G347" s="4"/>
      <c r="H347" s="302"/>
      <c r="I347" s="4" t="s">
        <v>88</v>
      </c>
      <c r="P347" s="1410"/>
      <c r="Q347" s="1410"/>
      <c r="R347" s="1410"/>
      <c r="S347" s="1410"/>
      <c r="T347" s="1410"/>
      <c r="U347" s="1410"/>
      <c r="V347" s="1410"/>
      <c r="W347" s="1410"/>
      <c r="X347" s="1410"/>
      <c r="Y347" s="1410"/>
      <c r="Z347" s="1410"/>
      <c r="AA347" s="4" t="s">
        <v>206</v>
      </c>
      <c r="AB347" s="4"/>
      <c r="AC347" s="1441"/>
      <c r="AD347" s="1441"/>
      <c r="AE347" s="1441"/>
      <c r="AF347" s="302"/>
      <c r="AG347" s="4"/>
      <c r="AH347" s="4"/>
      <c r="AI347" s="4"/>
      <c r="AJ347" s="4"/>
      <c r="AK347" s="4"/>
    </row>
    <row r="348" spans="1:66" ht="12.95" customHeight="1">
      <c r="B348" s="4"/>
      <c r="C348" s="4"/>
      <c r="D348" s="4"/>
      <c r="E348" s="4"/>
      <c r="F348" s="4"/>
      <c r="G348" s="4"/>
      <c r="H348" s="302"/>
      <c r="I348" s="4" t="s">
        <v>89</v>
      </c>
      <c r="P348" s="1410"/>
      <c r="Q348" s="1410"/>
      <c r="R348" s="1410"/>
      <c r="S348" s="1410"/>
      <c r="T348" s="1410"/>
      <c r="U348" s="1410"/>
      <c r="V348" s="1410"/>
      <c r="W348" s="1410"/>
      <c r="X348" s="1410"/>
      <c r="Y348" s="1410"/>
      <c r="Z348" s="1410"/>
      <c r="AF348" s="302"/>
      <c r="AG348" s="4"/>
      <c r="AH348" s="4"/>
      <c r="AI348" s="35"/>
      <c r="AJ348" s="35"/>
      <c r="AK348" s="35"/>
    </row>
    <row r="349" spans="1:66" ht="12.95" customHeight="1">
      <c r="B349" s="4"/>
      <c r="C349" s="4"/>
      <c r="D349" s="4"/>
      <c r="E349" s="4"/>
      <c r="F349" s="4"/>
      <c r="G349" s="4"/>
      <c r="I349" s="4" t="s">
        <v>76</v>
      </c>
      <c r="P349" s="1339"/>
      <c r="Q349" s="1339"/>
      <c r="R349" s="1339"/>
      <c r="S349" s="1339"/>
      <c r="T349" s="1339"/>
      <c r="U349" s="1339"/>
      <c r="V349" s="1339"/>
      <c r="W349" s="1339"/>
      <c r="X349" s="1339"/>
      <c r="Y349" s="1339"/>
      <c r="Z349" s="1339"/>
      <c r="AA349" s="1339"/>
      <c r="AB349" s="1339"/>
      <c r="AC349" s="1339"/>
      <c r="AD349" s="1339"/>
      <c r="AE349" s="1339"/>
    </row>
    <row r="350" spans="1:66" ht="12.95" customHeight="1">
      <c r="T350" s="8"/>
      <c r="U350" s="8"/>
      <c r="V350" s="8"/>
      <c r="W350" s="8"/>
      <c r="X350" s="8"/>
      <c r="Y350" s="8"/>
      <c r="Z350" s="8"/>
      <c r="AU350" s="95"/>
      <c r="AV350" s="95"/>
      <c r="AW350" s="95"/>
      <c r="AX350" s="95"/>
      <c r="AY350" s="95"/>
    </row>
    <row r="351" spans="1:66" ht="12.95" customHeight="1">
      <c r="A351" s="1430" t="s">
        <v>542</v>
      </c>
      <c r="B351" s="1430"/>
      <c r="C351" s="1430"/>
      <c r="D351" s="1430"/>
      <c r="E351" s="1430"/>
      <c r="F351" s="1430"/>
      <c r="G351" s="1430"/>
      <c r="H351" s="1430"/>
      <c r="I351" s="1430"/>
      <c r="J351" s="1430"/>
      <c r="K351" s="1430"/>
      <c r="L351" s="1430"/>
      <c r="M351" s="1430"/>
      <c r="N351" s="1430"/>
      <c r="O351" s="1430"/>
      <c r="P351" s="1430"/>
      <c r="Q351" s="1430"/>
      <c r="R351" s="1430"/>
      <c r="S351" s="1430"/>
      <c r="T351" s="1430"/>
      <c r="U351" s="1430"/>
      <c r="V351" s="1430"/>
      <c r="W351" s="1430"/>
      <c r="X351" s="1430"/>
      <c r="Y351" s="1430"/>
      <c r="Z351" s="1430"/>
      <c r="AA351" s="1430"/>
      <c r="AB351" s="1430"/>
      <c r="AC351" s="1430"/>
      <c r="AD351" s="1430"/>
      <c r="AE351" s="1430"/>
      <c r="AF351" s="1430"/>
      <c r="AG351" s="1430"/>
      <c r="AH351" s="1430"/>
      <c r="AI351" s="1430"/>
      <c r="AJ351" s="1430"/>
      <c r="AK351" s="1430"/>
      <c r="AL351" s="1430"/>
      <c r="AM351" s="1430"/>
      <c r="AN351" s="1430"/>
      <c r="AO351" s="1430"/>
      <c r="AP351" s="1430"/>
      <c r="AQ351" s="1430"/>
      <c r="AR351" s="1430"/>
      <c r="AS351" s="1430"/>
      <c r="AT351" s="1430"/>
      <c r="AU351" s="95"/>
      <c r="AV351" s="95"/>
      <c r="AW351" s="95"/>
      <c r="AX351" s="95"/>
      <c r="AY351" s="95"/>
    </row>
    <row r="352" spans="1:66" ht="12.95" customHeight="1">
      <c r="A352" s="1430"/>
      <c r="B352" s="1430"/>
      <c r="C352" s="1430"/>
      <c r="D352" s="1430"/>
      <c r="E352" s="1430"/>
      <c r="F352" s="1430"/>
      <c r="G352" s="1430"/>
      <c r="H352" s="1430"/>
      <c r="I352" s="1430"/>
      <c r="J352" s="1430"/>
      <c r="K352" s="1430"/>
      <c r="L352" s="1430"/>
      <c r="M352" s="1430"/>
      <c r="N352" s="1430"/>
      <c r="O352" s="1430"/>
      <c r="P352" s="1430"/>
      <c r="Q352" s="1430"/>
      <c r="R352" s="1430"/>
      <c r="S352" s="1430"/>
      <c r="T352" s="1430"/>
      <c r="U352" s="1430"/>
      <c r="V352" s="1430"/>
      <c r="W352" s="1430"/>
      <c r="X352" s="1430"/>
      <c r="Y352" s="1430"/>
      <c r="Z352" s="1430"/>
      <c r="AA352" s="1430"/>
      <c r="AB352" s="1430"/>
      <c r="AC352" s="1430"/>
      <c r="AD352" s="1430"/>
      <c r="AE352" s="1430"/>
      <c r="AF352" s="1430"/>
      <c r="AG352" s="1430"/>
      <c r="AH352" s="1430"/>
      <c r="AI352" s="1430"/>
      <c r="AJ352" s="1430"/>
      <c r="AK352" s="1430"/>
      <c r="AL352" s="1430"/>
      <c r="AM352" s="1430"/>
      <c r="AN352" s="1430"/>
      <c r="AO352" s="1430"/>
      <c r="AP352" s="1430"/>
      <c r="AQ352" s="1430"/>
      <c r="AR352" s="1430"/>
      <c r="AS352" s="1430"/>
      <c r="AT352" s="1430"/>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782</v>
      </c>
    </row>
    <row r="355" spans="1:46" ht="12.95" customHeight="1">
      <c r="D355" s="3" t="s">
        <v>2098</v>
      </c>
      <c r="M355" s="1331" t="s">
        <v>545</v>
      </c>
      <c r="N355" s="1331"/>
      <c r="P355" t="s">
        <v>1649</v>
      </c>
      <c r="AJ355" s="1331" t="s">
        <v>545</v>
      </c>
      <c r="AK355" s="1331"/>
    </row>
    <row r="356" spans="1:46" ht="12.95" customHeight="1">
      <c r="D356" s="3" t="s">
        <v>1638</v>
      </c>
      <c r="M356" s="1331" t="s">
        <v>591</v>
      </c>
      <c r="N356" s="1331"/>
      <c r="P356" s="3" t="s">
        <v>1718</v>
      </c>
      <c r="AJ356" s="1602">
        <v>0</v>
      </c>
      <c r="AK356" s="1602"/>
    </row>
    <row r="357" spans="1:46" ht="12.95" customHeight="1">
      <c r="D357" s="3" t="s">
        <v>704</v>
      </c>
      <c r="M357" s="1331" t="s">
        <v>591</v>
      </c>
      <c r="N357" s="1331"/>
      <c r="P357" t="s">
        <v>1648</v>
      </c>
      <c r="AJ357" s="1331" t="s">
        <v>591</v>
      </c>
      <c r="AK357" s="1331"/>
    </row>
    <row r="358" spans="1:46" ht="12.95" customHeight="1">
      <c r="D358" s="3" t="s">
        <v>705</v>
      </c>
      <c r="M358" s="1331" t="s">
        <v>591</v>
      </c>
      <c r="N358" s="1331"/>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1" t="s">
        <v>591</v>
      </c>
      <c r="O363" s="1331"/>
      <c r="P363" s="40"/>
      <c r="Q363" s="40"/>
      <c r="R363" s="40"/>
      <c r="S363" s="40"/>
      <c r="T363" s="40"/>
      <c r="U363" s="40"/>
      <c r="V363" s="40"/>
      <c r="W363" s="40"/>
      <c r="X363" s="40"/>
      <c r="Y363" s="40"/>
      <c r="Z363" s="40"/>
      <c r="AC363" s="40"/>
      <c r="AD363" s="40"/>
      <c r="AE363" s="40"/>
    </row>
    <row r="364" spans="1:46" ht="12.95" customHeight="1">
      <c r="E364" t="s">
        <v>370</v>
      </c>
      <c r="Y364" s="1331" t="s">
        <v>591</v>
      </c>
      <c r="Z364" s="1331"/>
    </row>
    <row r="365" spans="1:46" ht="12.95" customHeight="1">
      <c r="D365" s="4" t="s">
        <v>977</v>
      </c>
      <c r="Q365" s="1339"/>
      <c r="R365" s="1339"/>
      <c r="S365" s="1339"/>
      <c r="T365" s="1339"/>
      <c r="U365" s="1339"/>
      <c r="V365" s="1339"/>
      <c r="W365" s="1339"/>
      <c r="X365" s="1339"/>
      <c r="Y365" s="1339"/>
      <c r="Z365" s="1339"/>
      <c r="AA365" s="1339"/>
      <c r="AB365" s="1339"/>
      <c r="AC365" s="1339"/>
      <c r="AD365" s="1339"/>
      <c r="AE365" s="1339"/>
      <c r="AF365" s="1339"/>
      <c r="AG365" s="1339"/>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1" t="s">
        <v>591</v>
      </c>
      <c r="K367" s="1331"/>
      <c r="L367" s="40"/>
      <c r="M367" s="40"/>
      <c r="N367" s="40"/>
      <c r="O367" s="40"/>
      <c r="P367" s="40"/>
      <c r="Q367" s="40"/>
      <c r="R367" s="40"/>
      <c r="S367" s="40"/>
      <c r="T367" s="40"/>
      <c r="U367" s="40"/>
      <c r="V367" s="40"/>
      <c r="W367" s="40"/>
      <c r="X367" s="40"/>
      <c r="Y367" s="40"/>
      <c r="Z367" s="40"/>
      <c r="AC367" s="40"/>
      <c r="AD367" s="40"/>
      <c r="AE367" s="40"/>
    </row>
    <row r="368" spans="1:46" ht="12.95" customHeight="1">
      <c r="E368" s="1417" t="s">
        <v>706</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2.95"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2.95" customHeight="1">
      <c r="E370" s="4" t="s">
        <v>448</v>
      </c>
      <c r="F370" s="4"/>
      <c r="G370" s="4"/>
      <c r="H370" s="4"/>
      <c r="I370" s="4"/>
      <c r="J370" s="4"/>
      <c r="K370" s="4"/>
      <c r="L370" s="4"/>
      <c r="N370" s="1727"/>
      <c r="O370" s="1727"/>
      <c r="P370" s="1727"/>
      <c r="Q370" s="1727"/>
      <c r="R370" s="4"/>
      <c r="U370" s="4" t="s">
        <v>449</v>
      </c>
      <c r="V370" s="4"/>
      <c r="W370" s="4"/>
      <c r="X370" s="4"/>
      <c r="Y370" s="4"/>
      <c r="Z370" s="4"/>
      <c r="AA370" s="4"/>
      <c r="AB370" s="4"/>
      <c r="AC370" s="1727"/>
      <c r="AD370" s="1727"/>
      <c r="AE370" s="1727"/>
      <c r="AF370" s="1727"/>
    </row>
    <row r="371" spans="1:34" ht="12.95" customHeight="1">
      <c r="E371" s="4" t="s">
        <v>450</v>
      </c>
      <c r="F371" s="4"/>
      <c r="G371" s="4"/>
      <c r="H371" s="4"/>
      <c r="I371" s="4"/>
      <c r="J371" s="4"/>
      <c r="K371" s="4"/>
      <c r="L371" s="4"/>
      <c r="N371" s="1727"/>
      <c r="O371" s="1727"/>
      <c r="P371" s="1727"/>
      <c r="Q371" s="1727"/>
      <c r="R371" s="4"/>
      <c r="U371" s="4" t="s">
        <v>0</v>
      </c>
      <c r="V371" s="4"/>
      <c r="W371" s="4"/>
      <c r="X371" s="4"/>
      <c r="Y371" s="4"/>
      <c r="Z371" s="4"/>
      <c r="AA371" s="4"/>
      <c r="AB371" s="4"/>
      <c r="AC371" s="1727"/>
      <c r="AD371" s="1727"/>
      <c r="AE371" s="1727"/>
      <c r="AF371" s="1727"/>
    </row>
    <row r="372" spans="1:34" ht="12.95" customHeight="1">
      <c r="E372" s="4" t="s">
        <v>1</v>
      </c>
      <c r="F372" s="4"/>
      <c r="G372" s="4"/>
      <c r="H372" s="4"/>
      <c r="I372" s="4"/>
      <c r="J372" s="4"/>
      <c r="K372" s="4"/>
      <c r="L372" s="4"/>
      <c r="N372" s="1727"/>
      <c r="O372" s="1727"/>
      <c r="P372" s="1727"/>
      <c r="Q372" s="1727"/>
      <c r="R372" s="4"/>
      <c r="V372" s="4"/>
      <c r="W372" s="4"/>
      <c r="X372" s="4"/>
      <c r="Y372" s="4"/>
      <c r="Z372" s="4"/>
      <c r="AA372" s="4"/>
      <c r="AB372" s="4"/>
    </row>
    <row r="373" spans="1:34" ht="12.95" customHeight="1">
      <c r="E373" s="4" t="s">
        <v>2</v>
      </c>
      <c r="F373" s="4"/>
      <c r="G373" s="4"/>
      <c r="H373" s="4"/>
      <c r="I373" s="4"/>
      <c r="J373" s="4"/>
      <c r="K373" s="4"/>
      <c r="L373" s="4"/>
      <c r="N373" s="1831"/>
      <c r="O373" s="1831"/>
      <c r="P373" s="1831"/>
      <c r="Q373" s="1831"/>
      <c r="R373" s="1831"/>
      <c r="S373" s="1831"/>
      <c r="T373" s="1831"/>
      <c r="U373" s="1831"/>
      <c r="V373" s="1831"/>
      <c r="W373" s="1831"/>
      <c r="X373" s="1831"/>
      <c r="Y373" s="1831"/>
      <c r="Z373" s="1831"/>
      <c r="AA373" s="1831"/>
      <c r="AB373" s="1831"/>
      <c r="AC373" s="1831"/>
      <c r="AD373" s="1831"/>
      <c r="AE373" s="1831"/>
      <c r="AF373" s="1831"/>
    </row>
    <row r="374" spans="1:34" ht="12.95" customHeight="1">
      <c r="E374" s="4"/>
      <c r="F374" s="4"/>
      <c r="G374" s="4"/>
      <c r="H374" s="4"/>
      <c r="I374" s="4"/>
      <c r="J374" s="4"/>
      <c r="K374" s="4"/>
      <c r="L374" s="4"/>
      <c r="N374" s="1832"/>
      <c r="O374" s="1832"/>
      <c r="P374" s="1832"/>
      <c r="Q374" s="1832"/>
      <c r="R374" s="1832"/>
      <c r="S374" s="1832"/>
      <c r="T374" s="1832"/>
      <c r="U374" s="1832"/>
      <c r="V374" s="1832"/>
      <c r="W374" s="1832"/>
      <c r="X374" s="1832"/>
      <c r="Y374" s="1832"/>
      <c r="Z374" s="1832"/>
      <c r="AA374" s="1832"/>
      <c r="AB374" s="1832"/>
      <c r="AC374" s="1832"/>
      <c r="AD374" s="1832"/>
      <c r="AE374" s="1832"/>
      <c r="AF374" s="1832"/>
    </row>
    <row r="375" spans="1:34" ht="12.95" customHeight="1">
      <c r="C375" s="512"/>
      <c r="E375" s="4"/>
      <c r="F375" s="4"/>
      <c r="G375" s="4"/>
      <c r="H375" s="4"/>
      <c r="I375" s="4"/>
      <c r="J375" s="4"/>
      <c r="K375" s="4"/>
      <c r="L375" s="4"/>
    </row>
    <row r="376" spans="1:34" ht="12.95" customHeight="1">
      <c r="D376" s="2" t="s">
        <v>974</v>
      </c>
      <c r="E376" s="2"/>
      <c r="F376" s="4"/>
      <c r="G376" s="4"/>
      <c r="H376" s="4"/>
      <c r="I376" s="4"/>
      <c r="J376" s="4"/>
      <c r="K376" s="4"/>
      <c r="L376" s="4"/>
    </row>
    <row r="377" spans="1:34" ht="12.95" customHeight="1">
      <c r="E377" s="4" t="s">
        <v>2084</v>
      </c>
      <c r="F377" s="4"/>
      <c r="G377" s="4"/>
      <c r="H377" s="4"/>
      <c r="I377" s="4"/>
      <c r="J377" s="4"/>
      <c r="K377" s="4"/>
      <c r="L377" s="4"/>
      <c r="N377" t="s">
        <v>2079</v>
      </c>
      <c r="R377" s="27" t="s">
        <v>305</v>
      </c>
      <c r="S377" s="1833"/>
      <c r="T377" s="1833"/>
      <c r="U377" s="1" t="s">
        <v>306</v>
      </c>
      <c r="V377" s="1833"/>
      <c r="W377" s="1833"/>
      <c r="Y377" t="s">
        <v>2079</v>
      </c>
      <c r="AC377" s="27" t="s">
        <v>305</v>
      </c>
      <c r="AD377" s="1833"/>
      <c r="AE377" s="1833"/>
      <c r="AF377" s="1" t="s">
        <v>306</v>
      </c>
      <c r="AG377" s="1833"/>
      <c r="AH377" s="1833"/>
    </row>
    <row r="378" spans="1:34" ht="12.95" customHeight="1">
      <c r="E378" s="4" t="s">
        <v>986</v>
      </c>
      <c r="F378" s="4"/>
      <c r="G378" s="4"/>
      <c r="H378" s="4"/>
      <c r="I378" s="4"/>
      <c r="J378" s="4"/>
      <c r="K378" s="4"/>
      <c r="L378" s="4"/>
      <c r="N378" s="1833"/>
      <c r="O378" s="1833"/>
      <c r="P378" s="1833"/>
    </row>
    <row r="379" spans="1:34" ht="12.95" customHeight="1">
      <c r="E379" s="204" t="s">
        <v>2085</v>
      </c>
      <c r="F379" s="4"/>
      <c r="G379" s="4"/>
      <c r="H379" s="4"/>
      <c r="I379" s="4"/>
      <c r="J379" s="4"/>
      <c r="K379" s="4"/>
      <c r="L379" s="4"/>
      <c r="AG379" s="1798" t="s">
        <v>591</v>
      </c>
      <c r="AH379" s="1798"/>
    </row>
    <row r="380" spans="1:34" ht="12.95" customHeight="1">
      <c r="E380" s="4"/>
      <c r="F380" s="4"/>
      <c r="G380" s="4" t="s">
        <v>2086</v>
      </c>
      <c r="H380" s="4"/>
      <c r="I380" s="4"/>
      <c r="J380" s="4"/>
      <c r="K380" s="4"/>
      <c r="L380" s="4"/>
      <c r="AG380" s="1798" t="s">
        <v>591</v>
      </c>
      <c r="AH380" s="1798"/>
    </row>
    <row r="381" spans="1:34" ht="12.95" customHeight="1">
      <c r="E381" s="4"/>
      <c r="F381" s="4"/>
      <c r="G381" s="320" t="s">
        <v>987</v>
      </c>
      <c r="H381" s="4"/>
      <c r="I381" s="4"/>
      <c r="J381" s="4"/>
      <c r="K381" s="4"/>
      <c r="L381" s="4"/>
      <c r="V381" s="1331" t="s">
        <v>591</v>
      </c>
      <c r="W381" s="1331"/>
      <c r="Y381" s="22" t="s">
        <v>979</v>
      </c>
    </row>
    <row r="382" spans="1:34" ht="12.95" customHeight="1">
      <c r="E382" s="4" t="s">
        <v>980</v>
      </c>
      <c r="F382" s="4"/>
      <c r="G382" s="4"/>
      <c r="H382" s="4"/>
      <c r="I382" s="4"/>
      <c r="J382" s="4"/>
      <c r="K382" s="4"/>
      <c r="L382" s="4"/>
      <c r="V382" s="1331" t="s">
        <v>591</v>
      </c>
      <c r="W382" s="1331"/>
      <c r="Y382" s="4" t="s">
        <v>981</v>
      </c>
    </row>
    <row r="383" spans="1:34" ht="12.95" customHeight="1"/>
    <row r="384" spans="1:34" ht="12.95" customHeight="1">
      <c r="A384" s="2" t="s">
        <v>78</v>
      </c>
      <c r="B384" s="2"/>
    </row>
    <row r="385" spans="4:36" ht="12.95" customHeight="1">
      <c r="D385" t="s">
        <v>428</v>
      </c>
      <c r="J385" s="1418" t="s">
        <v>2690</v>
      </c>
      <c r="K385" s="1339"/>
      <c r="L385" s="1339"/>
      <c r="M385" s="1339"/>
      <c r="N385" s="1339"/>
      <c r="O385" s="1339"/>
      <c r="P385" s="1339"/>
      <c r="Q385" s="1339"/>
      <c r="R385" s="1339"/>
      <c r="S385" s="1339"/>
      <c r="T385" s="1339"/>
      <c r="U385" s="1339"/>
      <c r="V385" s="8" t="s">
        <v>83</v>
      </c>
      <c r="W385" s="8"/>
      <c r="X385" s="8"/>
      <c r="Y385" s="8"/>
      <c r="Z385" s="8"/>
      <c r="AA385" s="8"/>
      <c r="AB385" s="8"/>
      <c r="AC385" s="1339" t="s">
        <v>2705</v>
      </c>
      <c r="AD385" s="1339"/>
      <c r="AE385" s="1339"/>
      <c r="AF385" s="1339"/>
      <c r="AG385" s="1339"/>
      <c r="AH385" s="1339"/>
      <c r="AI385" s="1339"/>
      <c r="AJ385" s="1339"/>
    </row>
    <row r="386" spans="4:36" ht="12.95" customHeight="1">
      <c r="D386" s="3" t="s">
        <v>1181</v>
      </c>
      <c r="J386" s="1656" t="s">
        <v>2705</v>
      </c>
      <c r="K386" s="1656"/>
      <c r="L386" s="1656"/>
      <c r="M386" s="1656"/>
      <c r="N386" s="1656"/>
      <c r="O386" s="1656"/>
      <c r="P386" s="1656"/>
      <c r="Q386" s="1656"/>
      <c r="R386" s="1656"/>
      <c r="S386" s="1656"/>
      <c r="T386" s="1656"/>
      <c r="U386" s="1656"/>
      <c r="V386" s="3" t="s">
        <v>1181</v>
      </c>
      <c r="W386" s="8"/>
      <c r="X386" s="8"/>
      <c r="Y386" s="8"/>
      <c r="Z386" s="8"/>
      <c r="AA386" s="8"/>
      <c r="AB386" s="8"/>
      <c r="AC386" s="1339" t="s">
        <v>2707</v>
      </c>
      <c r="AD386" s="1339"/>
      <c r="AE386" s="1339"/>
      <c r="AF386" s="1339"/>
      <c r="AG386" s="1339"/>
      <c r="AH386" s="1339"/>
      <c r="AI386" s="1339"/>
      <c r="AJ386" s="1339"/>
    </row>
    <row r="387" spans="4:36" ht="12.95" customHeight="1">
      <c r="D387" s="3" t="s">
        <v>441</v>
      </c>
      <c r="J387" s="1656" t="s">
        <v>2708</v>
      </c>
      <c r="K387" s="1656"/>
      <c r="L387" s="1656"/>
      <c r="M387" s="1656"/>
      <c r="N387" s="1656"/>
      <c r="O387" s="1656"/>
      <c r="P387" s="1656"/>
      <c r="Q387" s="1656"/>
      <c r="R387" s="1656"/>
      <c r="S387" s="1656"/>
      <c r="T387" s="1656"/>
      <c r="U387" s="1656"/>
      <c r="V387" s="3" t="s">
        <v>441</v>
      </c>
      <c r="W387" s="8"/>
      <c r="X387" s="8"/>
      <c r="Y387" s="8"/>
      <c r="Z387" s="8"/>
      <c r="AA387" s="8"/>
      <c r="AB387" s="8"/>
      <c r="AC387" s="1339" t="s">
        <v>2709</v>
      </c>
      <c r="AD387" s="1339"/>
      <c r="AE387" s="1339"/>
      <c r="AF387" s="1339"/>
      <c r="AG387" s="1339"/>
      <c r="AH387" s="1339"/>
      <c r="AI387" s="1339"/>
      <c r="AJ387" s="1339"/>
    </row>
    <row r="388" spans="4:36" ht="12.95" customHeight="1">
      <c r="D388" t="s">
        <v>1177</v>
      </c>
      <c r="J388" s="1847" t="s">
        <v>2691</v>
      </c>
      <c r="K388" s="1376"/>
      <c r="L388" s="1376"/>
      <c r="M388" s="1376"/>
      <c r="N388" s="1376"/>
      <c r="O388" s="1376"/>
      <c r="P388" s="1376"/>
      <c r="Q388" s="1376"/>
      <c r="R388" s="1376"/>
      <c r="S388" s="1376"/>
      <c r="T388" s="1376"/>
      <c r="U388" s="1376"/>
      <c r="V388" s="1418" t="s">
        <v>2692</v>
      </c>
      <c r="W388" s="1339"/>
      <c r="X388" s="1339"/>
      <c r="Y388" s="1339"/>
      <c r="Z388" s="1339"/>
      <c r="AA388" s="1339"/>
      <c r="AB388" s="1339"/>
      <c r="AC388" s="1339"/>
      <c r="AD388" s="1339"/>
      <c r="AE388" s="1339"/>
      <c r="AF388" s="1339"/>
      <c r="AG388" s="1339"/>
      <c r="AH388" s="1339"/>
      <c r="AI388" s="1339"/>
      <c r="AJ388" s="1339"/>
    </row>
    <row r="389" spans="4:36" ht="12.95" customHeight="1">
      <c r="D389" t="s">
        <v>4</v>
      </c>
      <c r="Q389" s="1841">
        <v>45786</v>
      </c>
      <c r="R389" s="1841"/>
      <c r="S389" s="1841"/>
      <c r="T389" s="1841"/>
      <c r="U389" s="1841"/>
      <c r="V389" t="s">
        <v>309</v>
      </c>
      <c r="AI389" s="1331" t="s">
        <v>669</v>
      </c>
      <c r="AJ389" s="1331"/>
    </row>
    <row r="390" spans="4:36" ht="12.95" customHeight="1">
      <c r="D390" t="s">
        <v>5</v>
      </c>
      <c r="Q390" s="1520"/>
      <c r="R390" s="1838"/>
      <c r="S390" s="1838"/>
      <c r="T390" s="1838"/>
      <c r="U390" s="1838"/>
      <c r="W390" s="21" t="s">
        <v>74</v>
      </c>
      <c r="AG390" s="1836"/>
      <c r="AH390" s="1836"/>
      <c r="AI390" s="1836"/>
      <c r="AJ390" s="1836"/>
    </row>
    <row r="391" spans="4:36" ht="12.95" customHeight="1">
      <c r="D391" t="s">
        <v>427</v>
      </c>
      <c r="Q391" s="1846">
        <v>12700000</v>
      </c>
      <c r="R391" s="1846"/>
      <c r="S391" s="1846"/>
      <c r="T391" s="1846"/>
      <c r="U391" s="1846"/>
      <c r="V391" s="3" t="s">
        <v>1180</v>
      </c>
      <c r="AG391" s="1837">
        <v>45939</v>
      </c>
      <c r="AH391" s="1837"/>
      <c r="AI391" s="1837"/>
      <c r="AJ391" s="1837"/>
    </row>
    <row r="392" spans="4:36" ht="12.95" customHeight="1">
      <c r="D392" t="s">
        <v>88</v>
      </c>
      <c r="I392" s="1431"/>
      <c r="J392" s="1431"/>
      <c r="K392" s="1431"/>
      <c r="L392" s="1431"/>
      <c r="M392" s="1431"/>
      <c r="N392" s="1431"/>
      <c r="Q392" s="4" t="s">
        <v>206</v>
      </c>
      <c r="S392" s="1845"/>
      <c r="T392" s="1845"/>
      <c r="U392" s="1845"/>
      <c r="V392" t="s">
        <v>73</v>
      </c>
      <c r="AI392" s="1331" t="s">
        <v>669</v>
      </c>
      <c r="AJ392" s="1331"/>
    </row>
    <row r="393" spans="4:36" ht="12.95" customHeight="1">
      <c r="D393" t="s">
        <v>310</v>
      </c>
      <c r="Q393" s="1379">
        <f>AG393/12</f>
        <v>9525</v>
      </c>
      <c r="R393" s="1379"/>
      <c r="S393" s="1379"/>
      <c r="T393" s="1379"/>
      <c r="U393" s="1379"/>
      <c r="V393" t="s">
        <v>311</v>
      </c>
      <c r="AG393" s="1836">
        <v>114300</v>
      </c>
      <c r="AH393" s="1836"/>
      <c r="AI393" s="1836"/>
      <c r="AJ393" s="1836"/>
    </row>
    <row r="394" spans="4:36" ht="12.95" customHeight="1">
      <c r="D394" t="s">
        <v>312</v>
      </c>
      <c r="Q394" s="1776">
        <v>1.1990000000000001E-2</v>
      </c>
      <c r="R394" s="1776"/>
      <c r="S394" s="1776"/>
      <c r="T394" s="1776"/>
      <c r="U394" s="1776"/>
      <c r="V394" t="s">
        <v>1162</v>
      </c>
      <c r="AG394" s="1836"/>
      <c r="AH394" s="1836"/>
      <c r="AI394" s="1836"/>
      <c r="AJ394" s="1836"/>
    </row>
    <row r="395" spans="4:36" ht="12.95" customHeight="1">
      <c r="D395" t="s">
        <v>1161</v>
      </c>
      <c r="AG395" s="1836"/>
      <c r="AH395" s="1836"/>
      <c r="AI395" s="1836"/>
      <c r="AJ395" s="1836"/>
    </row>
    <row r="396" spans="4:36" ht="12.95" customHeight="1">
      <c r="AG396" s="456"/>
      <c r="AH396" s="456"/>
      <c r="AI396" s="456"/>
      <c r="AJ396" s="456"/>
    </row>
    <row r="397" spans="4:36" ht="12.95" customHeight="1">
      <c r="D397" s="3" t="s">
        <v>2142</v>
      </c>
      <c r="AG397" s="456"/>
      <c r="AH397" s="456"/>
      <c r="AI397" s="1331" t="s">
        <v>669</v>
      </c>
      <c r="AJ397" s="1331"/>
    </row>
    <row r="398" spans="4:36" ht="12.95" customHeight="1">
      <c r="D398" s="3" t="s">
        <v>1666</v>
      </c>
      <c r="T398" s="1737"/>
      <c r="U398" s="1737"/>
      <c r="V398" s="1737"/>
      <c r="W398" s="1737"/>
      <c r="X398" s="1737"/>
      <c r="Y398" s="1737"/>
      <c r="Z398" s="1737"/>
      <c r="AA398" s="1737"/>
      <c r="AB398" s="1737"/>
      <c r="AC398" s="1737"/>
      <c r="AD398" s="1737"/>
      <c r="AE398" s="1737"/>
      <c r="AF398" s="1737"/>
      <c r="AG398" s="1737"/>
      <c r="AH398" s="1737"/>
      <c r="AI398" s="1737"/>
      <c r="AJ398" s="1737"/>
    </row>
    <row r="399" spans="4:36" ht="12.95" customHeight="1">
      <c r="D399" s="3" t="s">
        <v>1665</v>
      </c>
      <c r="T399" s="1737"/>
      <c r="U399" s="1737"/>
      <c r="V399" s="1737"/>
      <c r="W399" s="1737"/>
      <c r="X399" s="1737"/>
      <c r="Y399" s="1737"/>
      <c r="Z399" s="1737"/>
      <c r="AA399" s="1737"/>
      <c r="AB399" s="1737"/>
      <c r="AC399" s="1737"/>
      <c r="AD399" s="1737"/>
      <c r="AE399" s="1737"/>
      <c r="AF399" s="1737"/>
      <c r="AG399" s="1737"/>
      <c r="AH399" s="1737"/>
      <c r="AI399" s="1737"/>
      <c r="AJ399" s="1737"/>
    </row>
    <row r="400" spans="4:36" ht="12.95" customHeight="1">
      <c r="AG400" s="456"/>
      <c r="AH400" s="456"/>
      <c r="AI400" s="456"/>
      <c r="AJ400" s="456"/>
    </row>
    <row r="401" spans="1:36" ht="12.95" customHeight="1">
      <c r="D401" s="3" t="s">
        <v>1659</v>
      </c>
      <c r="S401" s="1737" t="s">
        <v>545</v>
      </c>
      <c r="T401" s="1737"/>
      <c r="U401" s="1737"/>
      <c r="V401" t="s">
        <v>1660</v>
      </c>
      <c r="AG401" s="1829">
        <v>99</v>
      </c>
      <c r="AH401" s="1829"/>
      <c r="AI401" s="1829"/>
      <c r="AJ401" s="1829"/>
    </row>
    <row r="402" spans="1:36" ht="12.95" customHeight="1">
      <c r="D402" s="3" t="s">
        <v>1657</v>
      </c>
      <c r="S402" s="1737" t="s">
        <v>545</v>
      </c>
      <c r="T402" s="1737"/>
      <c r="U402" s="1737"/>
      <c r="V402" t="s">
        <v>1662</v>
      </c>
      <c r="AE402" s="1835">
        <v>671572.82499999995</v>
      </c>
      <c r="AF402" s="1835"/>
      <c r="AG402" s="1835"/>
      <c r="AH402" s="1835"/>
      <c r="AI402" s="1835"/>
      <c r="AJ402" s="1835"/>
    </row>
    <row r="403" spans="1:36" ht="12.95" customHeight="1">
      <c r="D403" s="3" t="s">
        <v>1658</v>
      </c>
      <c r="K403" s="1816"/>
      <c r="L403" s="1816"/>
      <c r="M403" s="1816"/>
      <c r="N403" s="1816"/>
      <c r="O403" s="1816"/>
      <c r="P403" s="1816"/>
      <c r="Q403" s="1816"/>
      <c r="R403" s="1816"/>
      <c r="S403" s="1816"/>
      <c r="T403" s="1816"/>
      <c r="U403" s="1816"/>
      <c r="V403" s="1816"/>
      <c r="W403" s="1816"/>
      <c r="X403" s="1816"/>
      <c r="Y403" s="1816"/>
      <c r="Z403" s="1816"/>
      <c r="AA403" s="1816"/>
      <c r="AB403" s="1816"/>
      <c r="AC403" s="1816"/>
      <c r="AD403" s="1816"/>
      <c r="AE403" s="1816"/>
      <c r="AF403" s="1816"/>
      <c r="AG403" s="1816"/>
      <c r="AH403" s="1816"/>
      <c r="AI403" s="1816"/>
      <c r="AJ403" s="1816"/>
    </row>
    <row r="404" spans="1:36" ht="12.95" customHeight="1">
      <c r="D404" s="3" t="s">
        <v>1661</v>
      </c>
      <c r="K404" s="1816" t="s">
        <v>2693</v>
      </c>
      <c r="L404" s="1816"/>
      <c r="M404" s="1816"/>
      <c r="N404" s="1816"/>
      <c r="O404" s="1816"/>
      <c r="P404" s="1816"/>
      <c r="Q404" s="1816"/>
      <c r="R404" s="1816"/>
      <c r="S404" s="1816"/>
      <c r="T404" s="1816"/>
      <c r="U404" s="1816"/>
      <c r="V404" s="1816"/>
      <c r="W404" s="1816"/>
      <c r="X404" s="1816"/>
      <c r="Y404" s="1816"/>
      <c r="Z404" s="1816"/>
      <c r="AA404" s="1816"/>
      <c r="AB404" s="1816"/>
      <c r="AC404" s="1816"/>
      <c r="AD404" s="1816"/>
      <c r="AE404" s="1816"/>
      <c r="AF404" s="1816"/>
      <c r="AG404" s="1816"/>
      <c r="AH404" s="1816"/>
      <c r="AI404" s="1816"/>
      <c r="AJ404" s="1816"/>
    </row>
    <row r="405" spans="1:36" ht="12.95" customHeight="1">
      <c r="D405" s="3" t="s">
        <v>1664</v>
      </c>
      <c r="E405" s="477"/>
      <c r="F405" s="477"/>
      <c r="G405" s="477"/>
      <c r="H405" s="477"/>
      <c r="I405" s="477"/>
      <c r="J405" s="477"/>
      <c r="K405" s="477"/>
      <c r="L405" s="477"/>
      <c r="M405" s="477"/>
      <c r="N405" s="477"/>
      <c r="O405" s="477"/>
      <c r="P405" s="477"/>
      <c r="Q405" s="477"/>
      <c r="R405" s="477"/>
      <c r="S405" s="1844" t="s">
        <v>2694</v>
      </c>
      <c r="T405" s="1844"/>
      <c r="U405" s="1844"/>
      <c r="V405" s="1844"/>
      <c r="W405" s="1844"/>
      <c r="X405" s="1844"/>
      <c r="Y405" s="1844"/>
      <c r="Z405" s="1844"/>
      <c r="AA405" s="1844"/>
      <c r="AB405" s="1844"/>
      <c r="AC405" s="1844"/>
      <c r="AD405" s="1844"/>
      <c r="AE405" s="1844"/>
      <c r="AF405" s="1844"/>
      <c r="AG405" s="1844"/>
      <c r="AH405" s="1844"/>
      <c r="AI405" s="1844"/>
      <c r="AJ405" s="1844"/>
    </row>
    <row r="406" spans="1:36" ht="12.95" customHeight="1">
      <c r="D406" s="1266" t="s">
        <v>1663</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1203</v>
      </c>
      <c r="I410" s="1418" t="s">
        <v>2695</v>
      </c>
      <c r="J410" s="1418"/>
      <c r="K410" s="1418"/>
      <c r="L410" s="1418"/>
      <c r="M410" s="1418"/>
      <c r="N410" s="1418"/>
      <c r="O410" s="1418"/>
      <c r="P410" s="1418"/>
      <c r="Q410" s="1418"/>
      <c r="R410" s="1418"/>
      <c r="S410" s="1418"/>
      <c r="T410" s="1418"/>
      <c r="U410" s="1418"/>
      <c r="V410" s="1418"/>
      <c r="W410" s="1418"/>
      <c r="X410" s="1418"/>
      <c r="Y410" s="1418"/>
      <c r="Z410" s="1418"/>
      <c r="AA410" s="1418"/>
      <c r="AB410" s="1418"/>
      <c r="AC410" s="1418"/>
      <c r="AD410" s="1418"/>
      <c r="AE410" s="1418"/>
    </row>
    <row r="411" spans="1:36" ht="12.95" customHeight="1">
      <c r="E411" t="s">
        <v>106</v>
      </c>
      <c r="R411" s="1331" t="s">
        <v>545</v>
      </c>
      <c r="S411" s="1331"/>
      <c r="AC411" s="27" t="s">
        <v>570</v>
      </c>
      <c r="AD411" s="1727">
        <v>6</v>
      </c>
      <c r="AE411" s="1727"/>
    </row>
    <row r="412" spans="1:36" ht="12.95" customHeight="1">
      <c r="E412" t="s">
        <v>107</v>
      </c>
      <c r="R412" s="1331" t="s">
        <v>591</v>
      </c>
      <c r="S412" s="1331"/>
      <c r="AC412" s="27" t="s">
        <v>570</v>
      </c>
      <c r="AD412" s="1727"/>
      <c r="AE412" s="1727"/>
    </row>
    <row r="413" spans="1:36" ht="12.95" customHeight="1">
      <c r="E413" t="s">
        <v>108</v>
      </c>
      <c r="S413" s="1331" t="s">
        <v>591</v>
      </c>
      <c r="T413" s="1331"/>
    </row>
    <row r="414" spans="1:36" ht="12.95" customHeight="1">
      <c r="E414" t="s">
        <v>170</v>
      </c>
      <c r="H414" s="1789"/>
      <c r="I414" s="1789"/>
      <c r="J414" s="1789"/>
      <c r="K414" s="1789"/>
      <c r="L414" s="1789"/>
      <c r="M414" s="1789"/>
      <c r="N414" s="1789"/>
      <c r="O414" s="1789"/>
      <c r="P414" s="1789"/>
      <c r="Q414" s="1789"/>
      <c r="R414" s="1789"/>
      <c r="S414" s="1789"/>
      <c r="T414" s="1789"/>
      <c r="U414" s="1789"/>
      <c r="V414" s="1789"/>
      <c r="W414" s="1789"/>
      <c r="X414" s="1789"/>
      <c r="Y414" s="1789"/>
      <c r="Z414" s="1789"/>
      <c r="AA414" s="1789"/>
      <c r="AB414" s="1789"/>
      <c r="AC414" s="1789"/>
      <c r="AD414" s="1789"/>
      <c r="AE414" s="1789"/>
    </row>
    <row r="415" spans="1:36" ht="12.95" customHeight="1">
      <c r="H415" s="1790"/>
      <c r="I415" s="1790"/>
      <c r="J415" s="1790"/>
      <c r="K415" s="1790"/>
      <c r="L415" s="1790"/>
      <c r="M415" s="1790"/>
      <c r="N415" s="1790"/>
      <c r="O415" s="1790"/>
      <c r="P415" s="1790"/>
      <c r="Q415" s="1790"/>
      <c r="R415" s="1790"/>
      <c r="S415" s="1790"/>
      <c r="T415" s="1790"/>
      <c r="U415" s="1790"/>
      <c r="V415" s="1790"/>
      <c r="W415" s="1790"/>
      <c r="X415" s="1790"/>
      <c r="Y415" s="1790"/>
      <c r="Z415" s="1790"/>
      <c r="AA415" s="1790"/>
      <c r="AB415" s="1790"/>
      <c r="AC415" s="1790"/>
      <c r="AD415" s="1790"/>
      <c r="AE415" s="1790"/>
    </row>
    <row r="416" spans="1:36" ht="12.95" customHeight="1"/>
    <row r="417" spans="1:39" ht="12.95" customHeight="1">
      <c r="A417" s="2" t="s">
        <v>590</v>
      </c>
      <c r="B417" s="2"/>
      <c r="C417" s="2"/>
      <c r="D417" s="2" t="s">
        <v>114</v>
      </c>
      <c r="AF417" s="2" t="s">
        <v>956</v>
      </c>
    </row>
    <row r="418" spans="1:39" ht="12.95" customHeight="1">
      <c r="E418" s="1833"/>
      <c r="F418" s="1833"/>
      <c r="G418" s="1833"/>
      <c r="H418" s="13" t="s">
        <v>115</v>
      </c>
      <c r="I418" s="1833"/>
      <c r="J418" s="1833"/>
      <c r="K418" s="1833"/>
      <c r="L418" t="s">
        <v>116</v>
      </c>
      <c r="N418" s="27" t="s">
        <v>575</v>
      </c>
      <c r="P418" s="1848">
        <v>2.1398301000000002</v>
      </c>
      <c r="Q418" s="1848"/>
      <c r="R418" s="1848"/>
      <c r="S418" t="s">
        <v>117</v>
      </c>
      <c r="W418" s="1843">
        <f>IF(E418&gt;0,(E418*I418),(P418*43560))</f>
        <v>93210.999156000005</v>
      </c>
      <c r="X418" s="1843"/>
      <c r="Y418" s="1843"/>
      <c r="Z418" t="s">
        <v>118</v>
      </c>
      <c r="AF418" s="1840">
        <f>IFERROR(IF(P418&gt;0,(AG437/P418),(AG437/(W418/43560))),0)</f>
        <v>184.59409464330835</v>
      </c>
      <c r="AG418" s="1840"/>
      <c r="AH418" s="1840"/>
      <c r="AM418" s="3"/>
    </row>
    <row r="419" spans="1:39" ht="12.95" customHeight="1">
      <c r="E419" t="s">
        <v>51</v>
      </c>
    </row>
    <row r="420" spans="1:39" ht="12.95" customHeight="1">
      <c r="E420" s="1842"/>
      <c r="F420" s="1842"/>
      <c r="G420" s="1842"/>
      <c r="H420" s="1842"/>
      <c r="I420" s="1842"/>
      <c r="J420" s="1842"/>
      <c r="K420" s="1842"/>
      <c r="L420" s="1842"/>
      <c r="M420" s="1842"/>
      <c r="N420" s="1842"/>
      <c r="O420" s="1842"/>
      <c r="P420" s="1842"/>
      <c r="Q420" s="1842"/>
      <c r="R420" s="1842"/>
      <c r="S420" s="1842"/>
      <c r="T420" s="1842"/>
      <c r="U420" s="1842"/>
      <c r="V420" s="1842"/>
      <c r="W420" s="1842"/>
      <c r="X420" s="1842"/>
      <c r="Y420" s="1842"/>
      <c r="Z420" s="1842"/>
      <c r="AA420" s="1842"/>
      <c r="AB420" s="1842"/>
      <c r="AC420" s="1842"/>
      <c r="AD420" s="1842"/>
      <c r="AE420" s="1842"/>
      <c r="AF420" s="1842"/>
      <c r="AG420" s="1842"/>
      <c r="AH420" s="1842"/>
      <c r="AI420" s="1842"/>
      <c r="AJ420" s="1842"/>
    </row>
    <row r="421" spans="1:39" ht="12.95" customHeight="1">
      <c r="E421" s="118" t="s">
        <v>1735</v>
      </c>
      <c r="F421" s="1012"/>
      <c r="G421" s="1012"/>
      <c r="H421" s="1012"/>
      <c r="I421" s="1747">
        <v>2.09</v>
      </c>
      <c r="J421" s="1747"/>
      <c r="K421" s="1747"/>
      <c r="L421" s="1012"/>
      <c r="M421" s="118"/>
      <c r="N421" s="1012"/>
      <c r="O421" s="1012"/>
      <c r="P421" s="1445">
        <f>(DU755+DU778+DU800)/I421</f>
        <v>203.34928229665073</v>
      </c>
      <c r="Q421" s="1445"/>
      <c r="R421" s="1445"/>
      <c r="S421" s="118" t="s">
        <v>1736</v>
      </c>
      <c r="T421" s="1012"/>
      <c r="U421" s="1012"/>
      <c r="V421" s="1012"/>
      <c r="W421" s="1012"/>
      <c r="X421" s="1012"/>
      <c r="Y421" s="1012"/>
      <c r="Z421" s="1012"/>
      <c r="AA421" s="1012"/>
      <c r="AB421" s="1012"/>
      <c r="AC421" s="1012"/>
      <c r="AD421" s="1012"/>
      <c r="AE421" s="1012"/>
      <c r="AF421" s="1012"/>
      <c r="AG421" s="1012"/>
      <c r="AH421" s="1012"/>
      <c r="AI421" s="1012"/>
      <c r="AJ421" s="1012"/>
    </row>
    <row r="422" spans="1:39" ht="12.95" customHeight="1"/>
    <row r="423" spans="1:39" ht="12.95" customHeight="1">
      <c r="A423" s="2" t="s">
        <v>592</v>
      </c>
      <c r="B423" s="2"/>
      <c r="C423" s="2"/>
      <c r="D423" s="2" t="s">
        <v>120</v>
      </c>
    </row>
    <row r="424" spans="1:39" ht="12.95" customHeight="1">
      <c r="E424" t="s">
        <v>121</v>
      </c>
      <c r="P424" s="1331">
        <v>0</v>
      </c>
      <c r="Q424" s="1331"/>
      <c r="S424" t="s">
        <v>189</v>
      </c>
      <c r="AE424" s="1331">
        <v>1</v>
      </c>
      <c r="AF424" s="1331"/>
    </row>
    <row r="425" spans="1:39" ht="12.95" customHeight="1">
      <c r="E425" t="s">
        <v>190</v>
      </c>
      <c r="P425" s="1331">
        <v>0</v>
      </c>
      <c r="Q425" s="1331"/>
      <c r="S425" t="s">
        <v>131</v>
      </c>
      <c r="AE425" s="1331" t="s">
        <v>591</v>
      </c>
      <c r="AF425" s="1331"/>
    </row>
    <row r="426" spans="1:39" ht="12.95" customHeight="1">
      <c r="F426" s="28" t="s">
        <v>132</v>
      </c>
    </row>
    <row r="427" spans="1:39" ht="12.95" customHeight="1">
      <c r="F427" s="1805"/>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2.95" customHeight="1">
      <c r="F428" s="1781"/>
      <c r="G428" s="1781"/>
      <c r="H428" s="1781"/>
      <c r="I428" s="1781"/>
      <c r="J428" s="1781"/>
      <c r="K428" s="1781"/>
      <c r="L428" s="1781"/>
      <c r="M428" s="1781"/>
      <c r="N428" s="1781"/>
      <c r="O428" s="1781"/>
      <c r="P428" s="1781"/>
      <c r="Q428" s="1781"/>
      <c r="R428" s="1781"/>
      <c r="S428" s="1781"/>
      <c r="T428" s="1781"/>
      <c r="U428" s="1781"/>
      <c r="V428" s="1781"/>
      <c r="W428" s="1781"/>
      <c r="X428" s="1781"/>
      <c r="Y428" s="1781"/>
      <c r="Z428" s="1781"/>
      <c r="AA428" s="1781"/>
      <c r="AB428" s="1781"/>
      <c r="AC428" s="1781"/>
      <c r="AD428" s="1781"/>
      <c r="AE428" s="1781"/>
      <c r="AF428" s="1781"/>
      <c r="AG428" s="1781"/>
      <c r="AH428" s="1781"/>
    </row>
    <row r="429" spans="1:39" ht="12.95" customHeight="1">
      <c r="E429" t="s">
        <v>608</v>
      </c>
      <c r="P429" s="1"/>
      <c r="Q429" s="1331" t="s">
        <v>669</v>
      </c>
      <c r="R429" s="1331"/>
    </row>
    <row r="430" spans="1:39" ht="12.95" customHeight="1">
      <c r="F430" t="s">
        <v>609</v>
      </c>
      <c r="P430" s="1"/>
      <c r="Q430" s="1"/>
      <c r="AF430" s="1331" t="s">
        <v>591</v>
      </c>
      <c r="AG430" s="1849"/>
    </row>
    <row r="431" spans="1:39" ht="12.95" customHeight="1"/>
    <row r="432" spans="1:39" ht="12.95" customHeight="1">
      <c r="A432" s="2"/>
      <c r="B432" s="2"/>
      <c r="C432" s="2"/>
      <c r="E432" s="4" t="s">
        <v>308</v>
      </c>
      <c r="Z432" s="1331" t="s">
        <v>669</v>
      </c>
      <c r="AA432" s="1331"/>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1" t="s">
        <v>591</v>
      </c>
      <c r="AA434" s="1331"/>
    </row>
    <row r="435" spans="1:55" ht="12.95" customHeight="1"/>
    <row r="436" spans="1:55" ht="12.95" customHeight="1">
      <c r="A436" s="2" t="s">
        <v>467</v>
      </c>
      <c r="B436" s="2"/>
      <c r="C436" s="2"/>
      <c r="D436" s="2" t="s">
        <v>764</v>
      </c>
      <c r="AF436" s="48"/>
    </row>
    <row r="437" spans="1:55" ht="12.95" customHeight="1">
      <c r="D437" s="1642" t="s">
        <v>43</v>
      </c>
      <c r="E437" s="1641"/>
      <c r="F437" s="1641"/>
      <c r="G437" s="1641"/>
      <c r="H437" s="1641"/>
      <c r="I437" s="1641"/>
      <c r="J437" s="1641"/>
      <c r="K437" s="1641"/>
      <c r="L437" s="1641"/>
      <c r="M437" s="1641"/>
      <c r="N437" s="1641"/>
      <c r="O437" s="1641"/>
      <c r="P437" s="1641"/>
      <c r="Q437" s="1641"/>
      <c r="R437" s="1641"/>
      <c r="S437" s="1641"/>
      <c r="T437" s="1641"/>
      <c r="U437" s="1641"/>
      <c r="V437" s="1641"/>
      <c r="W437" s="1641"/>
      <c r="X437" s="1641"/>
      <c r="Y437" s="1641"/>
      <c r="Z437" s="1641"/>
      <c r="AA437" s="1641"/>
      <c r="AB437" s="1641"/>
      <c r="AC437" s="1641"/>
      <c r="AD437" s="1641"/>
      <c r="AE437" s="1641"/>
      <c r="AF437" s="1754"/>
      <c r="AG437" s="1828">
        <v>395</v>
      </c>
      <c r="AH437" s="1828"/>
      <c r="AI437" s="1828"/>
      <c r="AJ437" s="1828"/>
    </row>
    <row r="438" spans="1:55" ht="12.95" customHeight="1">
      <c r="D438" s="1738" t="s">
        <v>1221</v>
      </c>
      <c r="E438" s="1739"/>
      <c r="F438" s="1739"/>
      <c r="G438" s="1739"/>
      <c r="H438" s="1739"/>
      <c r="I438" s="1739"/>
      <c r="J438" s="1739"/>
      <c r="K438" s="1739"/>
      <c r="L438" s="1739"/>
      <c r="M438" s="1739"/>
      <c r="N438" s="1739"/>
      <c r="O438" s="1739"/>
      <c r="P438" s="1739"/>
      <c r="Q438" s="1739"/>
      <c r="R438" s="1739"/>
      <c r="S438" s="1739"/>
      <c r="T438" s="1739"/>
      <c r="U438" s="1739"/>
      <c r="V438" s="1739"/>
      <c r="W438" s="1739"/>
      <c r="X438" s="1739"/>
      <c r="Y438" s="1739"/>
      <c r="Z438" s="1739"/>
      <c r="AA438" s="1739"/>
      <c r="AB438" s="1739"/>
      <c r="AC438" s="1739"/>
      <c r="AD438" s="1739"/>
      <c r="AE438" s="1739"/>
      <c r="AF438" s="1740"/>
      <c r="AG438" s="1834">
        <v>0</v>
      </c>
      <c r="AH438" s="1548"/>
      <c r="AI438" s="1548"/>
      <c r="AJ438" s="1548"/>
    </row>
    <row r="439" spans="1:55" ht="12.95" customHeight="1">
      <c r="D439" s="1738" t="s">
        <v>1030</v>
      </c>
      <c r="E439" s="1739"/>
      <c r="F439" s="1739"/>
      <c r="G439" s="1739"/>
      <c r="H439" s="1739"/>
      <c r="I439" s="1739"/>
      <c r="J439" s="1739"/>
      <c r="K439" s="1739"/>
      <c r="L439" s="1739"/>
      <c r="M439" s="1739"/>
      <c r="N439" s="1739"/>
      <c r="O439" s="1739"/>
      <c r="P439" s="1739"/>
      <c r="Q439" s="1739"/>
      <c r="R439" s="1739"/>
      <c r="S439" s="1739"/>
      <c r="T439" s="1739"/>
      <c r="U439" s="1739"/>
      <c r="V439" s="1739"/>
      <c r="W439" s="1739"/>
      <c r="X439" s="1739"/>
      <c r="Y439" s="1739"/>
      <c r="Z439" s="1739"/>
      <c r="AA439" s="1739"/>
      <c r="AB439" s="1739"/>
      <c r="AC439" s="1739"/>
      <c r="AD439" s="1739"/>
      <c r="AE439" s="1739"/>
      <c r="AF439" s="1740"/>
      <c r="AG439" s="1828">
        <v>391</v>
      </c>
      <c r="AH439" s="1828"/>
      <c r="AI439" s="1828"/>
      <c r="AJ439" s="1828"/>
    </row>
    <row r="440" spans="1:55" ht="12.95" customHeight="1">
      <c r="D440" s="1738" t="s">
        <v>1031</v>
      </c>
      <c r="E440" s="1739"/>
      <c r="F440" s="1739"/>
      <c r="G440" s="1739"/>
      <c r="H440" s="1739"/>
      <c r="I440" s="1739"/>
      <c r="J440" s="1739"/>
      <c r="K440" s="1739"/>
      <c r="L440" s="1739"/>
      <c r="M440" s="1739"/>
      <c r="N440" s="1739"/>
      <c r="O440" s="1739"/>
      <c r="P440" s="1739"/>
      <c r="Q440" s="1739"/>
      <c r="R440" s="1739"/>
      <c r="S440" s="1739"/>
      <c r="T440" s="1739"/>
      <c r="U440" s="1739"/>
      <c r="V440" s="1739"/>
      <c r="W440" s="1739"/>
      <c r="X440" s="1739"/>
      <c r="Y440" s="1739"/>
      <c r="Z440" s="1739"/>
      <c r="AA440" s="1739"/>
      <c r="AB440" s="1739"/>
      <c r="AC440" s="1739"/>
      <c r="AD440" s="1739"/>
      <c r="AE440" s="1739"/>
      <c r="AF440" s="1740"/>
      <c r="AG440" s="1828">
        <v>391</v>
      </c>
      <c r="AH440" s="1828"/>
      <c r="AI440" s="1828"/>
      <c r="AJ440" s="1828"/>
    </row>
    <row r="441" spans="1:55" ht="12.95" customHeight="1">
      <c r="D441" s="1738" t="s">
        <v>1033</v>
      </c>
      <c r="E441" s="1739"/>
      <c r="F441" s="1739"/>
      <c r="G441" s="1739"/>
      <c r="H441" s="1739"/>
      <c r="I441" s="1739"/>
      <c r="J441" s="1739"/>
      <c r="K441" s="1739"/>
      <c r="L441" s="1739"/>
      <c r="M441" s="1739"/>
      <c r="N441" s="1739"/>
      <c r="O441" s="1739"/>
      <c r="P441" s="1739"/>
      <c r="Q441" s="1739"/>
      <c r="R441" s="1739"/>
      <c r="S441" s="1739"/>
      <c r="T441" s="1739"/>
      <c r="U441" s="1739"/>
      <c r="V441" s="1739"/>
      <c r="W441" s="1739"/>
      <c r="X441" s="1739"/>
      <c r="Y441" s="1739"/>
      <c r="Z441" s="1739"/>
      <c r="AA441" s="1739"/>
      <c r="AB441" s="1739"/>
      <c r="AC441" s="1739"/>
      <c r="AD441" s="1739"/>
      <c r="AE441" s="1739"/>
      <c r="AF441" s="1740"/>
      <c r="AG441" s="1821">
        <f>IF(ISERROR(AG440/AG439),0,AG440/AG439)</f>
        <v>1</v>
      </c>
      <c r="AH441" s="1821"/>
      <c r="AI441" s="1821"/>
      <c r="AJ441" s="1821"/>
    </row>
    <row r="442" spans="1:55" ht="12.95" customHeight="1">
      <c r="D442" s="1738" t="s">
        <v>1032</v>
      </c>
      <c r="E442" s="1739"/>
      <c r="F442" s="1739"/>
      <c r="G442" s="1739"/>
      <c r="H442" s="1739"/>
      <c r="I442" s="1739"/>
      <c r="J442" s="1739"/>
      <c r="K442" s="1739"/>
      <c r="L442" s="1739"/>
      <c r="M442" s="1739"/>
      <c r="N442" s="1739"/>
      <c r="O442" s="1739"/>
      <c r="P442" s="1739"/>
      <c r="Q442" s="1739"/>
      <c r="R442" s="1739"/>
      <c r="S442" s="1739"/>
      <c r="T442" s="1739"/>
      <c r="U442" s="1739"/>
      <c r="V442" s="1739"/>
      <c r="W442" s="1739"/>
      <c r="X442" s="1739"/>
      <c r="Y442" s="1739"/>
      <c r="Z442" s="1739"/>
      <c r="AA442" s="1739"/>
      <c r="AB442" s="1739"/>
      <c r="AC442" s="1739"/>
      <c r="AD442" s="1739"/>
      <c r="AE442" s="1739"/>
      <c r="AF442" s="1740"/>
      <c r="AG442" s="1761">
        <f>(365*520)+(26*690)</f>
        <v>207740</v>
      </c>
      <c r="AH442" s="1761"/>
      <c r="AI442" s="1761"/>
      <c r="AJ442" s="1761"/>
    </row>
    <row r="443" spans="1:55" ht="12.95" customHeight="1">
      <c r="D443" s="1738" t="s">
        <v>1034</v>
      </c>
      <c r="E443" s="1739"/>
      <c r="F443" s="1739"/>
      <c r="G443" s="1739"/>
      <c r="H443" s="1739"/>
      <c r="I443" s="1739"/>
      <c r="J443" s="1739"/>
      <c r="K443" s="1739"/>
      <c r="L443" s="1739"/>
      <c r="M443" s="1739"/>
      <c r="N443" s="1739"/>
      <c r="O443" s="1739"/>
      <c r="P443" s="1739"/>
      <c r="Q443" s="1739"/>
      <c r="R443" s="1739"/>
      <c r="S443" s="1739"/>
      <c r="T443" s="1739"/>
      <c r="U443" s="1739"/>
      <c r="V443" s="1739"/>
      <c r="W443" s="1739"/>
      <c r="X443" s="1739"/>
      <c r="Y443" s="1739"/>
      <c r="Z443" s="1739"/>
      <c r="AA443" s="1739"/>
      <c r="AB443" s="1739"/>
      <c r="AC443" s="1739"/>
      <c r="AD443" s="1739"/>
      <c r="AE443" s="1739"/>
      <c r="AF443" s="1740"/>
      <c r="AG443" s="1761">
        <f>AG442</f>
        <v>207740</v>
      </c>
      <c r="AH443" s="1761"/>
      <c r="AI443" s="1761"/>
      <c r="AJ443" s="1761"/>
    </row>
    <row r="444" spans="1:55" ht="12.95" customHeight="1">
      <c r="D444" s="1738" t="s">
        <v>1035</v>
      </c>
      <c r="E444" s="1739"/>
      <c r="F444" s="1739"/>
      <c r="G444" s="1739"/>
      <c r="H444" s="1739"/>
      <c r="I444" s="1739"/>
      <c r="J444" s="1739"/>
      <c r="K444" s="1739"/>
      <c r="L444" s="1739"/>
      <c r="M444" s="1739"/>
      <c r="N444" s="1739"/>
      <c r="O444" s="1739"/>
      <c r="P444" s="1739"/>
      <c r="Q444" s="1739"/>
      <c r="R444" s="1739"/>
      <c r="S444" s="1739"/>
      <c r="T444" s="1739"/>
      <c r="U444" s="1739"/>
      <c r="V444" s="1739"/>
      <c r="W444" s="1739"/>
      <c r="X444" s="1739"/>
      <c r="Y444" s="1739"/>
      <c r="Z444" s="1739"/>
      <c r="AA444" s="1739"/>
      <c r="AB444" s="1739"/>
      <c r="AC444" s="1739"/>
      <c r="AD444" s="1739"/>
      <c r="AE444" s="1739"/>
      <c r="AF444" s="1740"/>
      <c r="AG444" s="1821">
        <f>IF(ISERROR(AG443/AG442),0,AG443/AG442)</f>
        <v>1</v>
      </c>
      <c r="AH444" s="1821"/>
      <c r="AI444" s="1821"/>
      <c r="AJ444" s="1821"/>
    </row>
    <row r="445" spans="1:55" ht="12.95" customHeight="1">
      <c r="D445" s="1738" t="s">
        <v>1036</v>
      </c>
      <c r="E445" s="1739"/>
      <c r="F445" s="1739"/>
      <c r="G445" s="1739"/>
      <c r="H445" s="1739"/>
      <c r="I445" s="1739"/>
      <c r="J445" s="1739"/>
      <c r="K445" s="1739"/>
      <c r="L445" s="1739"/>
      <c r="M445" s="1739"/>
      <c r="N445" s="1739"/>
      <c r="O445" s="1739"/>
      <c r="P445" s="1739"/>
      <c r="Q445" s="1739"/>
      <c r="R445" s="1739"/>
      <c r="S445" s="1739"/>
      <c r="T445" s="1739"/>
      <c r="U445" s="1739"/>
      <c r="V445" s="1739"/>
      <c r="W445" s="1739"/>
      <c r="X445" s="1739"/>
      <c r="Y445" s="1739"/>
      <c r="Z445" s="1739"/>
      <c r="AA445" s="1739"/>
      <c r="AB445" s="1739"/>
      <c r="AC445" s="1739"/>
      <c r="AD445" s="1739"/>
      <c r="AE445" s="1739"/>
      <c r="AF445" s="1740"/>
      <c r="AG445" s="1821">
        <f>MIN(IF(AG441&gt;AG444,AG444,AG441),1)</f>
        <v>1</v>
      </c>
      <c r="AH445" s="1821"/>
      <c r="AI445" s="1821"/>
      <c r="AJ445" s="1821"/>
    </row>
    <row r="446" spans="1:55" ht="12.95" customHeight="1">
      <c r="D446" s="1738" t="s">
        <v>2087</v>
      </c>
      <c r="E446" s="1641"/>
      <c r="F446" s="1641"/>
      <c r="G446" s="1641"/>
      <c r="H446" s="1641"/>
      <c r="I446" s="1641"/>
      <c r="J446" s="1641"/>
      <c r="K446" s="1641"/>
      <c r="L446" s="1641"/>
      <c r="M446" s="1641"/>
      <c r="N446" s="1641"/>
      <c r="O446" s="1641"/>
      <c r="P446" s="1641"/>
      <c r="Q446" s="1641"/>
      <c r="R446" s="1641"/>
      <c r="S446" s="1641"/>
      <c r="T446" s="1641"/>
      <c r="U446" s="1641"/>
      <c r="V446" s="1641"/>
      <c r="W446" s="1641"/>
      <c r="X446" s="1641"/>
      <c r="Y446" s="1641"/>
      <c r="Z446" s="1641"/>
      <c r="AA446" s="1641"/>
      <c r="AB446" s="1641"/>
      <c r="AC446" s="1641"/>
      <c r="AD446" s="1641"/>
      <c r="AE446" s="1641"/>
      <c r="AF446" s="1754"/>
      <c r="AG446" s="1761">
        <v>6083</v>
      </c>
      <c r="AH446" s="1761"/>
      <c r="AI446" s="1761"/>
      <c r="AJ446" s="1761"/>
      <c r="AZ446" s="34"/>
      <c r="BA446" s="34"/>
      <c r="BB446" s="34"/>
      <c r="BC446" s="34"/>
    </row>
    <row r="447" spans="1:55" ht="12.95" customHeight="1">
      <c r="D447" s="1642" t="s">
        <v>569</v>
      </c>
      <c r="E447" s="1641"/>
      <c r="F447" s="1641"/>
      <c r="G447" s="1641"/>
      <c r="H447" s="1641"/>
      <c r="I447" s="1641"/>
      <c r="J447" s="1641"/>
      <c r="K447" s="1641"/>
      <c r="L447" s="1641"/>
      <c r="M447" s="1641"/>
      <c r="N447" s="1641"/>
      <c r="O447" s="1641"/>
      <c r="P447" s="1641"/>
      <c r="Q447" s="1641"/>
      <c r="R447" s="1641"/>
      <c r="S447" s="1641"/>
      <c r="T447" s="1641"/>
      <c r="U447" s="1641"/>
      <c r="V447" s="1641"/>
      <c r="W447" s="1641"/>
      <c r="X447" s="1641"/>
      <c r="Y447" s="1641"/>
      <c r="Z447" s="1641"/>
      <c r="AA447" s="1641"/>
      <c r="AB447" s="1641"/>
      <c r="AC447" s="1641"/>
      <c r="AD447" s="1641"/>
      <c r="AE447" s="1641"/>
      <c r="AF447" s="1754"/>
      <c r="AG447" s="1761"/>
      <c r="AH447" s="1761"/>
      <c r="AI447" s="1761"/>
      <c r="AJ447" s="1761"/>
      <c r="AZ447" s="3"/>
      <c r="BA447" s="3"/>
      <c r="BB447" s="3"/>
      <c r="BC447" s="3"/>
    </row>
    <row r="448" spans="1:55" ht="12.95" customHeight="1">
      <c r="D448" s="1738" t="s">
        <v>1204</v>
      </c>
      <c r="E448" s="1641"/>
      <c r="F448" s="1641"/>
      <c r="G448" s="1641"/>
      <c r="H448" s="1641"/>
      <c r="I448" s="1641"/>
      <c r="J448" s="1641"/>
      <c r="K448" s="1641"/>
      <c r="L448" s="1641"/>
      <c r="M448" s="1641"/>
      <c r="N448" s="1641"/>
      <c r="O448" s="1641"/>
      <c r="P448" s="1641"/>
      <c r="Q448" s="1641"/>
      <c r="R448" s="1641"/>
      <c r="S448" s="1641"/>
      <c r="T448" s="1641"/>
      <c r="U448" s="1641"/>
      <c r="V448" s="1641"/>
      <c r="W448" s="1641"/>
      <c r="X448" s="1641"/>
      <c r="Y448" s="1641"/>
      <c r="Z448" s="1641"/>
      <c r="AA448" s="1641"/>
      <c r="AB448" s="1641"/>
      <c r="AC448" s="1641"/>
      <c r="AD448" s="1641"/>
      <c r="AE448" s="1641"/>
      <c r="AF448" s="1754"/>
      <c r="AG448" s="1761">
        <f>(4*690)+23085+(349900-299868)</f>
        <v>75877</v>
      </c>
      <c r="AH448" s="1761"/>
      <c r="AI448" s="1761"/>
      <c r="AJ448" s="1761"/>
      <c r="AZ448" s="3"/>
      <c r="BA448" s="3"/>
      <c r="BB448" s="3"/>
      <c r="BC448" s="3"/>
    </row>
    <row r="449" spans="1:55" ht="12.95" customHeight="1">
      <c r="D449" s="1738" t="s">
        <v>1037</v>
      </c>
      <c r="E449" s="1641"/>
      <c r="F449" s="1641"/>
      <c r="G449" s="1641"/>
      <c r="H449" s="1641"/>
      <c r="I449" s="1641"/>
      <c r="J449" s="1641"/>
      <c r="K449" s="1641"/>
      <c r="L449" s="1641"/>
      <c r="M449" s="1641"/>
      <c r="N449" s="1641"/>
      <c r="O449" s="1641"/>
      <c r="P449" s="1641"/>
      <c r="Q449" s="1641"/>
      <c r="R449" s="1641"/>
      <c r="S449" s="1641"/>
      <c r="T449" s="1641"/>
      <c r="U449" s="1641"/>
      <c r="V449" s="1641"/>
      <c r="W449" s="1641"/>
      <c r="X449" s="1641"/>
      <c r="Y449" s="1641"/>
      <c r="Z449" s="1641"/>
      <c r="AA449" s="1641"/>
      <c r="AB449" s="1641"/>
      <c r="AC449" s="1641"/>
      <c r="AD449" s="1641"/>
      <c r="AE449" s="1641"/>
      <c r="AF449" s="1754"/>
      <c r="AG449" s="1761">
        <v>60200</v>
      </c>
      <c r="AH449" s="1761"/>
      <c r="AI449" s="1761"/>
      <c r="AJ449" s="1761"/>
      <c r="BB449" s="3"/>
      <c r="BC449" s="3"/>
    </row>
    <row r="450" spans="1:55" ht="12.95" customHeight="1">
      <c r="D450" s="1773" t="s">
        <v>1038</v>
      </c>
      <c r="E450" s="1774"/>
      <c r="F450" s="1774"/>
      <c r="G450" s="1774"/>
      <c r="H450" s="1774"/>
      <c r="I450" s="1774"/>
      <c r="J450" s="1774"/>
      <c r="K450" s="1774"/>
      <c r="L450" s="1774"/>
      <c r="M450" s="1774"/>
      <c r="N450" s="1774"/>
      <c r="O450" s="1774"/>
      <c r="P450" s="1774"/>
      <c r="Q450" s="1774"/>
      <c r="R450" s="1774"/>
      <c r="S450" s="1774"/>
      <c r="T450" s="1774"/>
      <c r="U450" s="1774"/>
      <c r="V450" s="1774"/>
      <c r="W450" s="1774"/>
      <c r="X450" s="1774"/>
      <c r="Y450" s="1774"/>
      <c r="Z450" s="1774"/>
      <c r="AA450" s="1774"/>
      <c r="AB450" s="1774"/>
      <c r="AC450" s="1774"/>
      <c r="AD450" s="1774"/>
      <c r="AE450" s="1774"/>
      <c r="AF450" s="1775"/>
      <c r="AG450" s="1850">
        <f>AG442+AG446+AG448+AG449</f>
        <v>349900</v>
      </c>
      <c r="AH450" s="1850"/>
      <c r="AI450" s="1850"/>
      <c r="AJ450" s="1850"/>
      <c r="AZ450" s="3"/>
      <c r="BA450" s="3"/>
      <c r="BB450" s="3"/>
      <c r="BC450" s="3"/>
    </row>
    <row r="451" spans="1:55" ht="12.95" customHeight="1">
      <c r="D451" s="1755" t="s">
        <v>1205</v>
      </c>
      <c r="E451" s="1755"/>
      <c r="F451" s="1755"/>
      <c r="G451" s="1755"/>
      <c r="H451" s="1755"/>
      <c r="I451" s="1755"/>
      <c r="J451" s="1755"/>
      <c r="K451" s="1755"/>
      <c r="L451" s="1755"/>
      <c r="M451" s="1755"/>
      <c r="N451" s="1755"/>
      <c r="O451" s="1755"/>
      <c r="P451" s="1755"/>
      <c r="Q451" s="1755"/>
      <c r="R451" s="1755"/>
      <c r="S451" s="1755"/>
      <c r="T451" s="1755"/>
      <c r="U451" s="1755"/>
      <c r="V451" s="1755"/>
      <c r="W451" s="1755"/>
      <c r="X451" s="1755"/>
      <c r="Y451" s="1755"/>
      <c r="Z451" s="1755"/>
      <c r="AA451" s="1755"/>
      <c r="AB451" s="1755"/>
      <c r="AC451" s="1755"/>
      <c r="AD451" s="1755"/>
      <c r="AE451" s="1755"/>
      <c r="AF451" s="1755"/>
      <c r="AG451" s="1755"/>
      <c r="AH451" s="1755"/>
      <c r="AI451" s="1755"/>
      <c r="AJ451" s="1755"/>
      <c r="AZ451" s="3"/>
      <c r="BA451" s="3"/>
      <c r="BB451" s="3"/>
      <c r="BC451" s="3"/>
    </row>
    <row r="452" spans="1:55" ht="12.95" customHeight="1">
      <c r="D452" s="1756"/>
      <c r="E452" s="1756"/>
      <c r="F452" s="1756"/>
      <c r="G452" s="1756"/>
      <c r="H452" s="1756"/>
      <c r="I452" s="1756"/>
      <c r="J452" s="1756"/>
      <c r="K452" s="1756"/>
      <c r="L452" s="1756"/>
      <c r="M452" s="1756"/>
      <c r="N452" s="1756"/>
      <c r="O452" s="1756"/>
      <c r="P452" s="1756"/>
      <c r="Q452" s="1756"/>
      <c r="R452" s="1756"/>
      <c r="S452" s="1756"/>
      <c r="T452" s="1756"/>
      <c r="U452" s="1756"/>
      <c r="V452" s="1756"/>
      <c r="W452" s="1756"/>
      <c r="X452" s="1756"/>
      <c r="Y452" s="1756"/>
      <c r="Z452" s="1756"/>
      <c r="AA452" s="1756"/>
      <c r="AB452" s="1756"/>
      <c r="AC452" s="1756"/>
      <c r="AD452" s="1756"/>
      <c r="AE452" s="1756"/>
      <c r="AF452" s="1756"/>
      <c r="AG452" s="1756"/>
      <c r="AH452" s="1756"/>
      <c r="AI452" s="1756"/>
      <c r="AJ452" s="1756"/>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30">
        <f>IF(AG437=0,"",'Sources and Uses Budget'!B105/Application!AG437)</f>
        <v>315796.63544303796</v>
      </c>
      <c r="AD454" s="1830"/>
      <c r="AE454" s="1830"/>
      <c r="AF454" s="1830"/>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30">
        <f>IF(AG437=0,"",'Sources and Uses Budget'!C105/Application!AG437)</f>
        <v>315796.63544303796</v>
      </c>
      <c r="AD455" s="1830"/>
      <c r="AE455" s="1830"/>
      <c r="AF455" s="1830"/>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30">
        <f>IF(AG437=0,"",('Sources and Uses Budget'!$S$107+'Sources and Uses Budget'!$T$107)/Application!AG437)</f>
        <v>288319.31139240507</v>
      </c>
      <c r="AD456" s="1830"/>
      <c r="AE456" s="1830"/>
      <c r="AF456" s="1830"/>
      <c r="AG456" s="177"/>
      <c r="AH456" s="177"/>
      <c r="AI456" s="177"/>
      <c r="AJ456" s="183"/>
      <c r="AZ456" s="3"/>
      <c r="BA456" s="3"/>
      <c r="BB456" s="3"/>
      <c r="BC456" s="3"/>
    </row>
    <row r="457" spans="1:55" ht="12.95" customHeight="1">
      <c r="D457" s="177"/>
      <c r="E457" s="177"/>
      <c r="F457" s="1728" t="str">
        <f>IFERROR(IF(AC454&gt;650000,"Please provide a justification of cost per unit in Tab 12 for all projects with per unit costs of greater than $650,000.",""),"")</f>
        <v/>
      </c>
      <c r="G457" s="1728"/>
      <c r="H457" s="1728"/>
      <c r="I457" s="1728"/>
      <c r="J457" s="1728"/>
      <c r="K457" s="1728"/>
      <c r="L457" s="1728"/>
      <c r="M457" s="1728"/>
      <c r="N457" s="1728"/>
      <c r="O457" s="1728"/>
      <c r="P457" s="1728"/>
      <c r="Q457" s="1728"/>
      <c r="R457" s="1728"/>
      <c r="S457" s="1728"/>
      <c r="T457" s="1728"/>
      <c r="U457" s="1728"/>
      <c r="V457" s="1728"/>
      <c r="W457" s="1728"/>
      <c r="X457" s="1728"/>
      <c r="Y457" s="1728"/>
      <c r="Z457" s="1728"/>
      <c r="AA457" s="1728"/>
      <c r="AB457" s="1728"/>
      <c r="AC457" s="515"/>
      <c r="AD457" s="177"/>
      <c r="AE457" s="177"/>
      <c r="AF457" s="177"/>
      <c r="AG457" s="177"/>
      <c r="AH457" s="177"/>
      <c r="AI457" s="177"/>
      <c r="AJ457" s="183"/>
      <c r="AZ457" s="3"/>
      <c r="BA457" s="3"/>
      <c r="BB457" s="3"/>
      <c r="BC457" s="3"/>
    </row>
    <row r="458" spans="1:55" ht="12.95" customHeight="1">
      <c r="A458" s="2"/>
      <c r="D458" s="2"/>
      <c r="E458" s="177"/>
      <c r="F458" s="1728"/>
      <c r="G458" s="1728"/>
      <c r="H458" s="1728"/>
      <c r="I458" s="1728"/>
      <c r="J458" s="1728"/>
      <c r="K458" s="1728"/>
      <c r="L458" s="1728"/>
      <c r="M458" s="1728"/>
      <c r="N458" s="1728"/>
      <c r="O458" s="1728"/>
      <c r="P458" s="1728"/>
      <c r="Q458" s="1728"/>
      <c r="R458" s="1728"/>
      <c r="S458" s="1728"/>
      <c r="T458" s="1728"/>
      <c r="U458" s="1728"/>
      <c r="V458" s="1728"/>
      <c r="W458" s="1728"/>
      <c r="X458" s="1728"/>
      <c r="Y458" s="1728"/>
      <c r="Z458" s="1728"/>
      <c r="AA458" s="1728"/>
      <c r="AB458" s="1728"/>
      <c r="AC458" s="177"/>
      <c r="AD458" s="177"/>
      <c r="AE458" s="177"/>
      <c r="AF458" s="177"/>
      <c r="AG458" s="177"/>
      <c r="AH458" s="177"/>
      <c r="AI458" s="177"/>
      <c r="AJ458" s="183"/>
      <c r="AZ458" s="3"/>
      <c r="BA458" s="3"/>
      <c r="BB458" s="3"/>
      <c r="BC458" s="3"/>
    </row>
    <row r="459" spans="1:55" ht="12.95"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41" t="s">
        <v>2099</v>
      </c>
      <c r="E465" s="1742"/>
      <c r="F465" s="1742"/>
      <c r="G465" s="1742"/>
      <c r="H465" s="1742"/>
      <c r="I465" s="1742"/>
      <c r="J465" s="1742"/>
      <c r="K465" s="1742"/>
      <c r="L465" s="1742"/>
      <c r="M465" s="1742"/>
      <c r="N465" s="1742"/>
      <c r="O465" s="1742"/>
      <c r="P465" s="1742"/>
      <c r="Q465" s="1742"/>
      <c r="R465" s="1742"/>
      <c r="S465" s="1742"/>
      <c r="T465" s="1742"/>
      <c r="U465" s="1742"/>
      <c r="V465" s="1743"/>
      <c r="W465" s="1732">
        <v>0</v>
      </c>
      <c r="X465" s="1733"/>
      <c r="Y465" s="1734"/>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62" t="s">
        <v>693</v>
      </c>
      <c r="E466" s="1742"/>
      <c r="F466" s="1742"/>
      <c r="G466" s="1742"/>
      <c r="H466" s="1742"/>
      <c r="I466" s="1742"/>
      <c r="J466" s="1742"/>
      <c r="K466" s="1742"/>
      <c r="L466" s="1742"/>
      <c r="M466" s="1742"/>
      <c r="N466" s="1742"/>
      <c r="O466" s="1742"/>
      <c r="P466" s="1742"/>
      <c r="Q466" s="1742"/>
      <c r="R466" s="1742"/>
      <c r="S466" s="1742"/>
      <c r="T466" s="1742"/>
      <c r="U466" s="1742"/>
      <c r="V466" s="1743"/>
      <c r="W466" s="1732">
        <v>0</v>
      </c>
      <c r="X466" s="1733"/>
      <c r="Y466" s="1734"/>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62" t="s">
        <v>694</v>
      </c>
      <c r="E467" s="1742"/>
      <c r="F467" s="1742"/>
      <c r="G467" s="1742"/>
      <c r="H467" s="1742"/>
      <c r="I467" s="1742"/>
      <c r="J467" s="1742"/>
      <c r="K467" s="1742"/>
      <c r="L467" s="1742"/>
      <c r="M467" s="1742"/>
      <c r="N467" s="1742"/>
      <c r="O467" s="1742"/>
      <c r="P467" s="1742"/>
      <c r="Q467" s="1742"/>
      <c r="R467" s="1742"/>
      <c r="S467" s="1742"/>
      <c r="T467" s="1742"/>
      <c r="U467" s="1742"/>
      <c r="V467" s="1743"/>
      <c r="W467" s="1732">
        <v>0</v>
      </c>
      <c r="X467" s="1733"/>
      <c r="Y467" s="1734"/>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62" t="s">
        <v>695</v>
      </c>
      <c r="E468" s="1742"/>
      <c r="F468" s="1742"/>
      <c r="G468" s="1742"/>
      <c r="H468" s="1742"/>
      <c r="I468" s="1742"/>
      <c r="J468" s="1742"/>
      <c r="K468" s="1742"/>
      <c r="L468" s="1742"/>
      <c r="M468" s="1742"/>
      <c r="N468" s="1742"/>
      <c r="O468" s="1742"/>
      <c r="P468" s="1742"/>
      <c r="Q468" s="1742"/>
      <c r="R468" s="1742"/>
      <c r="S468" s="1742"/>
      <c r="T468" s="1742"/>
      <c r="U468" s="1742"/>
      <c r="V468" s="1743"/>
      <c r="W468" s="1732">
        <v>0</v>
      </c>
      <c r="X468" s="1733"/>
      <c r="Y468" s="1734"/>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62" t="s">
        <v>881</v>
      </c>
      <c r="E469" s="1742"/>
      <c r="F469" s="1742"/>
      <c r="G469" s="1742"/>
      <c r="H469" s="1742"/>
      <c r="I469" s="1742"/>
      <c r="J469" s="1742"/>
      <c r="K469" s="1742"/>
      <c r="L469" s="1742"/>
      <c r="M469" s="1742"/>
      <c r="N469" s="1742"/>
      <c r="O469" s="1742"/>
      <c r="P469" s="1742"/>
      <c r="Q469" s="1742"/>
      <c r="R469" s="1742"/>
      <c r="S469" s="1742"/>
      <c r="T469" s="1742"/>
      <c r="U469" s="1742"/>
      <c r="V469" s="1743"/>
      <c r="W469" s="1732">
        <v>0</v>
      </c>
      <c r="X469" s="1733"/>
      <c r="Y469" s="1734"/>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62" t="s">
        <v>696</v>
      </c>
      <c r="E470" s="1742"/>
      <c r="F470" s="1742"/>
      <c r="G470" s="1742"/>
      <c r="H470" s="1742"/>
      <c r="I470" s="1742"/>
      <c r="J470" s="1742"/>
      <c r="K470" s="1742"/>
      <c r="L470" s="1742"/>
      <c r="M470" s="1742"/>
      <c r="N470" s="1742"/>
      <c r="O470" s="1742"/>
      <c r="P470" s="1742"/>
      <c r="Q470" s="1742"/>
      <c r="R470" s="1742"/>
      <c r="S470" s="1742"/>
      <c r="T470" s="1742"/>
      <c r="U470" s="1742"/>
      <c r="V470" s="1743"/>
      <c r="W470" s="1732">
        <v>0</v>
      </c>
      <c r="X470" s="1733"/>
      <c r="Y470" s="1734"/>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62" t="s">
        <v>1011</v>
      </c>
      <c r="E471" s="1742"/>
      <c r="F471" s="1742"/>
      <c r="G471" s="1742"/>
      <c r="H471" s="1742"/>
      <c r="I471" s="1742"/>
      <c r="J471" s="1742"/>
      <c r="K471" s="1742"/>
      <c r="L471" s="1742"/>
      <c r="M471" s="1742"/>
      <c r="N471" s="1742"/>
      <c r="O471" s="1742"/>
      <c r="P471" s="1742"/>
      <c r="Q471" s="1742"/>
      <c r="R471" s="1742"/>
      <c r="S471" s="1742"/>
      <c r="T471" s="1742"/>
      <c r="U471" s="1742"/>
      <c r="V471" s="1743"/>
      <c r="W471" s="1732">
        <v>0</v>
      </c>
      <c r="X471" s="1733"/>
      <c r="Y471" s="1734"/>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41" t="s">
        <v>2190</v>
      </c>
      <c r="E472" s="1855"/>
      <c r="F472" s="1855"/>
      <c r="G472" s="1855"/>
      <c r="H472" s="1855"/>
      <c r="I472" s="1855"/>
      <c r="J472" s="1855"/>
      <c r="K472" s="1855"/>
      <c r="L472" s="1855"/>
      <c r="M472" s="1855"/>
      <c r="N472" s="1855"/>
      <c r="O472" s="1855"/>
      <c r="P472" s="1855"/>
      <c r="Q472" s="1855"/>
      <c r="R472" s="1855"/>
      <c r="S472" s="1855"/>
      <c r="T472" s="1855"/>
      <c r="U472" s="1855"/>
      <c r="V472" s="1856"/>
      <c r="W472" s="1732">
        <v>0</v>
      </c>
      <c r="X472" s="1733"/>
      <c r="Y472" s="1734"/>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41" t="s">
        <v>1653</v>
      </c>
      <c r="E473" s="1742"/>
      <c r="F473" s="1742"/>
      <c r="G473" s="1742"/>
      <c r="H473" s="1742"/>
      <c r="I473" s="1742"/>
      <c r="J473" s="1742"/>
      <c r="K473" s="1742"/>
      <c r="L473" s="1742"/>
      <c r="M473" s="1742"/>
      <c r="N473" s="1742"/>
      <c r="O473" s="1742"/>
      <c r="P473" s="1742"/>
      <c r="Q473" s="1742"/>
      <c r="R473" s="1742"/>
      <c r="S473" s="1742"/>
      <c r="T473" s="1742"/>
      <c r="U473" s="1742"/>
      <c r="V473" s="1743"/>
      <c r="W473" s="1732">
        <v>60</v>
      </c>
      <c r="X473" s="1733"/>
      <c r="Y473" s="1734"/>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744"/>
      <c r="H474" s="1745"/>
      <c r="I474" s="1745"/>
      <c r="J474" s="1745"/>
      <c r="K474" s="1745"/>
      <c r="L474" s="1745"/>
      <c r="M474" s="1745"/>
      <c r="N474" s="1745"/>
      <c r="O474" s="1745"/>
      <c r="P474" s="1745"/>
      <c r="Q474" s="1745"/>
      <c r="R474" s="1745"/>
      <c r="S474" s="1745"/>
      <c r="T474" s="1745"/>
      <c r="U474" s="1745"/>
      <c r="V474" s="1746"/>
      <c r="W474" s="1732">
        <v>0</v>
      </c>
      <c r="X474" s="1733"/>
      <c r="Y474" s="1734"/>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f>N599</f>
        <v>0</v>
      </c>
      <c r="BB478" s="3"/>
      <c r="BC478" s="3"/>
    </row>
    <row r="479" spans="1:55" ht="12.95" customHeight="1">
      <c r="AU479" s="95"/>
      <c r="AV479" s="95"/>
      <c r="AW479" s="95"/>
      <c r="AX479" s="95"/>
      <c r="AY479" s="95"/>
      <c r="AZ479" s="3"/>
      <c r="BA479" s="3" t="str">
        <f>AG599</f>
        <v>No</v>
      </c>
      <c r="BB479" s="3"/>
      <c r="BC479" s="3"/>
    </row>
    <row r="480" spans="1:55" ht="12.95" customHeight="1">
      <c r="A480" s="1430" t="s">
        <v>810</v>
      </c>
      <c r="B480" s="1430"/>
      <c r="C480" s="1430"/>
      <c r="D480" s="1430"/>
      <c r="E480" s="1430"/>
      <c r="F480" s="1430"/>
      <c r="G480" s="1430"/>
      <c r="H480" s="1430"/>
      <c r="I480" s="1430"/>
      <c r="J480" s="1430"/>
      <c r="K480" s="1430"/>
      <c r="L480" s="1430"/>
      <c r="M480" s="1430"/>
      <c r="N480" s="1430"/>
      <c r="O480" s="1430"/>
      <c r="P480" s="1430"/>
      <c r="Q480" s="1430"/>
      <c r="R480" s="1430"/>
      <c r="S480" s="1430"/>
      <c r="T480" s="1430"/>
      <c r="U480" s="1430"/>
      <c r="V480" s="1430"/>
      <c r="W480" s="1430"/>
      <c r="X480" s="1430"/>
      <c r="Y480" s="1430"/>
      <c r="Z480" s="1430"/>
      <c r="AA480" s="1430"/>
      <c r="AB480" s="1430"/>
      <c r="AC480" s="1430"/>
      <c r="AD480" s="1430"/>
      <c r="AE480" s="1430"/>
      <c r="AF480" s="1430"/>
      <c r="AG480" s="1430"/>
      <c r="AH480" s="1430"/>
      <c r="AI480" s="1430"/>
      <c r="AJ480" s="1430"/>
      <c r="AK480" s="1430"/>
      <c r="AL480" s="1430"/>
      <c r="AM480" s="1430"/>
      <c r="AN480" s="1430"/>
      <c r="AO480" s="1430"/>
      <c r="AP480" s="1430"/>
      <c r="AQ480" s="1430"/>
      <c r="AR480" s="1430"/>
      <c r="AS480" s="1430"/>
      <c r="AT480" s="1430"/>
      <c r="AU480" s="95"/>
      <c r="AV480" s="95"/>
      <c r="AW480" s="95"/>
      <c r="AX480" s="95"/>
      <c r="AY480" s="95"/>
      <c r="AZ480" s="3"/>
      <c r="BB480" s="3"/>
      <c r="BC480" s="3"/>
    </row>
    <row r="481" spans="1:55" ht="12.95" customHeight="1">
      <c r="A481" s="1430"/>
      <c r="B481" s="1430"/>
      <c r="C481" s="1430"/>
      <c r="D481" s="1430"/>
      <c r="E481" s="1430"/>
      <c r="F481" s="1430"/>
      <c r="G481" s="1430"/>
      <c r="H481" s="1430"/>
      <c r="I481" s="1430"/>
      <c r="J481" s="1430"/>
      <c r="K481" s="1430"/>
      <c r="L481" s="1430"/>
      <c r="M481" s="1430"/>
      <c r="N481" s="1430"/>
      <c r="O481" s="1430"/>
      <c r="P481" s="1430"/>
      <c r="Q481" s="1430"/>
      <c r="R481" s="1430"/>
      <c r="S481" s="1430"/>
      <c r="T481" s="1430"/>
      <c r="U481" s="1430"/>
      <c r="V481" s="1430"/>
      <c r="W481" s="1430"/>
      <c r="X481" s="1430"/>
      <c r="Y481" s="1430"/>
      <c r="Z481" s="1430"/>
      <c r="AA481" s="1430"/>
      <c r="AB481" s="1430"/>
      <c r="AC481" s="1430"/>
      <c r="AD481" s="1430"/>
      <c r="AE481" s="1430"/>
      <c r="AF481" s="1430"/>
      <c r="AG481" s="1430"/>
      <c r="AH481" s="1430"/>
      <c r="AI481" s="1430"/>
      <c r="AJ481" s="1430"/>
      <c r="AK481" s="1430"/>
      <c r="AL481" s="1430"/>
      <c r="AM481" s="1430"/>
      <c r="AN481" s="1430"/>
      <c r="AO481" s="1430"/>
      <c r="AP481" s="1430"/>
      <c r="AQ481" s="1430"/>
      <c r="AR481" s="1430"/>
      <c r="AS481" s="1430"/>
      <c r="AT481" s="1430"/>
      <c r="AZ481" s="3"/>
      <c r="BB481" s="3"/>
      <c r="BC481" s="3"/>
    </row>
    <row r="482" spans="1:55" ht="12.95" customHeight="1">
      <c r="AZ482" s="3"/>
      <c r="BB482" s="3"/>
      <c r="BC482" s="3"/>
    </row>
    <row r="483" spans="1:55" ht="12.95" customHeight="1">
      <c r="A483" s="2" t="s">
        <v>319</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59" t="s">
        <v>393</v>
      </c>
      <c r="R485" s="1760"/>
      <c r="S485" s="1760"/>
      <c r="T485" s="1760"/>
      <c r="U485" s="1760"/>
      <c r="V485" s="1760"/>
      <c r="W485" s="1760"/>
      <c r="X485" s="1760"/>
      <c r="Y485" s="1760"/>
      <c r="Z485" s="1760"/>
      <c r="AA485" s="1760"/>
      <c r="AB485" s="1760"/>
      <c r="AC485" s="1760"/>
      <c r="AD485" s="1760"/>
      <c r="AE485" s="1760"/>
      <c r="AF485" s="1760"/>
      <c r="AG485" s="1760"/>
      <c r="AH485" s="1760"/>
      <c r="AI485" s="1760"/>
      <c r="AJ485" s="1760"/>
      <c r="AK485" s="1772"/>
      <c r="AZ485" s="3"/>
      <c r="BB485" s="3"/>
      <c r="BC485" s="3"/>
    </row>
    <row r="486" spans="1:55" ht="12.95" customHeight="1">
      <c r="B486" s="45" t="s">
        <v>394</v>
      </c>
      <c r="C486" s="5"/>
      <c r="D486" s="5"/>
      <c r="E486" s="5"/>
      <c r="F486" s="5"/>
      <c r="G486" s="5"/>
      <c r="H486" s="5"/>
      <c r="I486" s="5"/>
      <c r="J486" s="5"/>
      <c r="K486" s="5"/>
      <c r="L486" s="5"/>
      <c r="M486" s="5"/>
      <c r="N486" s="5"/>
      <c r="O486" s="5"/>
      <c r="P486" s="5"/>
      <c r="Q486" s="1584" t="s">
        <v>2712</v>
      </c>
      <c r="R486" s="1656"/>
      <c r="S486" s="1656"/>
      <c r="T486" s="1656"/>
      <c r="U486" s="1656"/>
      <c r="V486" s="1656"/>
      <c r="W486" s="1656"/>
      <c r="X486" s="1656"/>
      <c r="Y486" s="1656"/>
      <c r="Z486" s="1656"/>
      <c r="AA486" s="1656"/>
      <c r="AB486" s="1656"/>
      <c r="AC486" s="1656"/>
      <c r="AD486" s="1656"/>
      <c r="AE486" s="1656"/>
      <c r="AF486" s="1656"/>
      <c r="AG486" s="1656"/>
      <c r="AH486" s="1656"/>
      <c r="AI486" s="1656"/>
      <c r="AJ486" s="1656"/>
      <c r="AK486" s="1585"/>
      <c r="AZ486" s="3"/>
      <c r="BB486" s="3"/>
      <c r="BC486" s="3"/>
    </row>
    <row r="487" spans="1:55" ht="12.95" customHeight="1">
      <c r="B487" s="45" t="s">
        <v>395</v>
      </c>
      <c r="C487" s="5"/>
      <c r="D487" s="5"/>
      <c r="E487" s="5"/>
      <c r="F487" s="5"/>
      <c r="G487" s="5"/>
      <c r="H487" s="5"/>
      <c r="I487" s="5"/>
      <c r="J487" s="5"/>
      <c r="K487" s="5"/>
      <c r="L487" s="5"/>
      <c r="M487" s="5"/>
      <c r="N487" s="5"/>
      <c r="O487" s="5"/>
      <c r="P487" s="5"/>
      <c r="Q487" s="1584" t="s">
        <v>2714</v>
      </c>
      <c r="R487" s="1656"/>
      <c r="S487" s="1656"/>
      <c r="T487" s="1656"/>
      <c r="U487" s="1656"/>
      <c r="V487" s="1656"/>
      <c r="W487" s="1656"/>
      <c r="X487" s="1656"/>
      <c r="Y487" s="1656"/>
      <c r="Z487" s="1656"/>
      <c r="AA487" s="1656"/>
      <c r="AB487" s="1656"/>
      <c r="AC487" s="1656"/>
      <c r="AD487" s="1656"/>
      <c r="AE487" s="1656"/>
      <c r="AF487" s="1656"/>
      <c r="AG487" s="1656"/>
      <c r="AH487" s="1656"/>
      <c r="AI487" s="1656"/>
      <c r="AJ487" s="1656"/>
      <c r="AK487" s="1585"/>
      <c r="AZ487" s="3"/>
      <c r="BB487" s="3"/>
      <c r="BC487" s="3"/>
    </row>
    <row r="488" spans="1:55" ht="12.95" customHeight="1">
      <c r="B488" s="45" t="s">
        <v>396</v>
      </c>
      <c r="C488" s="5"/>
      <c r="D488" s="5"/>
      <c r="E488" s="5"/>
      <c r="F488" s="5"/>
      <c r="G488" s="5"/>
      <c r="H488" s="5"/>
      <c r="I488" s="5"/>
      <c r="J488" s="5"/>
      <c r="K488" s="5"/>
      <c r="L488" s="5"/>
      <c r="M488" s="5"/>
      <c r="N488" s="5"/>
      <c r="O488" s="5"/>
      <c r="P488" s="5"/>
      <c r="Q488" s="1584" t="s">
        <v>2713</v>
      </c>
      <c r="R488" s="1656"/>
      <c r="S488" s="1656"/>
      <c r="T488" s="1656"/>
      <c r="U488" s="1656"/>
      <c r="V488" s="1656"/>
      <c r="W488" s="1656"/>
      <c r="X488" s="1656"/>
      <c r="Y488" s="1656"/>
      <c r="Z488" s="1656"/>
      <c r="AA488" s="1656"/>
      <c r="AB488" s="1656"/>
      <c r="AC488" s="1656"/>
      <c r="AD488" s="1656"/>
      <c r="AE488" s="1656"/>
      <c r="AF488" s="1656"/>
      <c r="AG488" s="1656"/>
      <c r="AH488" s="1656"/>
      <c r="AI488" s="1656"/>
      <c r="AJ488" s="1656"/>
      <c r="AK488" s="1585"/>
      <c r="AZ488" s="3"/>
      <c r="BA488" s="3"/>
      <c r="BB488" s="3"/>
      <c r="BC488" s="3"/>
    </row>
    <row r="489" spans="1:55" ht="12.95" customHeight="1">
      <c r="B489" s="1766" t="s">
        <v>397</v>
      </c>
      <c r="C489" s="1767"/>
      <c r="D489" s="1767"/>
      <c r="E489" s="1767"/>
      <c r="F489" s="1767"/>
      <c r="G489" s="1767"/>
      <c r="H489" s="1767"/>
      <c r="I489" s="1767"/>
      <c r="J489" s="1767"/>
      <c r="K489" s="1767"/>
      <c r="L489" s="1767"/>
      <c r="M489" s="1767"/>
      <c r="N489" s="1767"/>
      <c r="O489" s="1767"/>
      <c r="P489" s="1768"/>
      <c r="Q489" s="1748" t="s">
        <v>669</v>
      </c>
      <c r="R489" s="1749"/>
      <c r="S489" s="1777" t="s">
        <v>166</v>
      </c>
      <c r="T489" s="1778"/>
      <c r="U489" s="1778"/>
      <c r="V489" s="1778"/>
      <c r="W489" s="1778"/>
      <c r="X489" s="1778"/>
      <c r="Y489" s="1778"/>
      <c r="Z489" s="1778"/>
      <c r="AA489" s="1778"/>
      <c r="AB489" s="1778"/>
      <c r="AC489" s="1778"/>
      <c r="AD489" s="1778"/>
      <c r="AE489" s="1778"/>
      <c r="AF489" s="1778"/>
      <c r="AG489" s="1778"/>
      <c r="AH489" s="1778"/>
      <c r="AI489" s="1778"/>
      <c r="AJ489" s="1778"/>
      <c r="AK489" s="1779"/>
      <c r="AZ489" s="3"/>
      <c r="BA489" s="3"/>
      <c r="BB489" s="3"/>
      <c r="BC489" s="3"/>
    </row>
    <row r="490" spans="1:55" ht="12.95" customHeight="1">
      <c r="B490" s="1769"/>
      <c r="C490" s="1770"/>
      <c r="D490" s="1770"/>
      <c r="E490" s="1770"/>
      <c r="F490" s="1770"/>
      <c r="G490" s="1770"/>
      <c r="H490" s="1770"/>
      <c r="I490" s="1770"/>
      <c r="J490" s="1770"/>
      <c r="K490" s="1770"/>
      <c r="L490" s="1770"/>
      <c r="M490" s="1770"/>
      <c r="N490" s="1770"/>
      <c r="O490" s="1770"/>
      <c r="P490" s="1771"/>
      <c r="Q490" s="1750"/>
      <c r="R490" s="1751"/>
      <c r="S490" s="1780"/>
      <c r="T490" s="1781"/>
      <c r="U490" s="1781"/>
      <c r="V490" s="1781"/>
      <c r="W490" s="1781"/>
      <c r="X490" s="1781"/>
      <c r="Y490" s="1781"/>
      <c r="Z490" s="1781"/>
      <c r="AA490" s="1781"/>
      <c r="AB490" s="1781"/>
      <c r="AC490" s="1781"/>
      <c r="AD490" s="1781"/>
      <c r="AE490" s="1781"/>
      <c r="AF490" s="1781"/>
      <c r="AG490" s="1781"/>
      <c r="AH490" s="1781"/>
      <c r="AI490" s="1781"/>
      <c r="AJ490" s="1781"/>
      <c r="AK490" s="1782"/>
      <c r="AZ490" s="3"/>
      <c r="BA490" s="3"/>
      <c r="BB490" s="3"/>
      <c r="BC490" s="3"/>
    </row>
    <row r="491" spans="1:55" ht="12.95" customHeight="1">
      <c r="B491" s="895" t="s">
        <v>1670</v>
      </c>
      <c r="C491" s="873"/>
      <c r="D491" s="873"/>
      <c r="E491" s="873"/>
      <c r="F491" s="873"/>
      <c r="G491" s="873"/>
      <c r="H491" s="873"/>
      <c r="I491" s="873"/>
      <c r="J491" s="873"/>
      <c r="K491" s="873"/>
      <c r="L491" s="873"/>
      <c r="M491" s="873"/>
      <c r="N491" s="873"/>
      <c r="O491" s="873"/>
      <c r="P491" s="873"/>
      <c r="Q491" s="1852" t="s">
        <v>669</v>
      </c>
      <c r="R491" s="1853"/>
      <c r="S491" s="1853"/>
      <c r="T491" s="1853"/>
      <c r="U491" s="1853"/>
      <c r="V491" s="1853"/>
      <c r="W491" s="1853"/>
      <c r="X491" s="1853"/>
      <c r="Y491" s="1853"/>
      <c r="Z491" s="1853"/>
      <c r="AA491" s="1853"/>
      <c r="AB491" s="1853"/>
      <c r="AC491" s="1853"/>
      <c r="AD491" s="1853"/>
      <c r="AE491" s="1853"/>
      <c r="AF491" s="1853"/>
      <c r="AG491" s="1853"/>
      <c r="AH491" s="1853"/>
      <c r="AI491" s="1853"/>
      <c r="AJ491" s="1853"/>
      <c r="AK491" s="1854"/>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84" t="s">
        <v>2710</v>
      </c>
      <c r="R492" s="1656"/>
      <c r="S492" s="1656"/>
      <c r="T492" s="1656"/>
      <c r="U492" s="1656"/>
      <c r="V492" s="1656"/>
      <c r="W492" s="1656"/>
      <c r="X492" s="1656"/>
      <c r="Y492" s="1656"/>
      <c r="Z492" s="1656"/>
      <c r="AA492" s="1656"/>
      <c r="AB492" s="1656"/>
      <c r="AC492" s="1656"/>
      <c r="AD492" s="1656"/>
      <c r="AE492" s="1656"/>
      <c r="AF492" s="1656"/>
      <c r="AG492" s="1656"/>
      <c r="AH492" s="1656"/>
      <c r="AI492" s="1656"/>
      <c r="AJ492" s="1656"/>
      <c r="AK492" s="1585"/>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84" t="s">
        <v>2711</v>
      </c>
      <c r="R493" s="1656"/>
      <c r="S493" s="1656"/>
      <c r="T493" s="1656"/>
      <c r="U493" s="1656"/>
      <c r="V493" s="1656"/>
      <c r="W493" s="1656"/>
      <c r="X493" s="1656"/>
      <c r="Y493" s="1656"/>
      <c r="Z493" s="1656"/>
      <c r="AA493" s="1656"/>
      <c r="AB493" s="1656"/>
      <c r="AC493" s="1656"/>
      <c r="AD493" s="1656"/>
      <c r="AE493" s="1656"/>
      <c r="AF493" s="1656"/>
      <c r="AG493" s="1656"/>
      <c r="AH493" s="1656"/>
      <c r="AI493" s="1656"/>
      <c r="AJ493" s="1656"/>
      <c r="AK493" s="1585"/>
      <c r="AZ493" s="3"/>
      <c r="BA493" s="3"/>
      <c r="BB493" s="3"/>
      <c r="BC493" s="3"/>
    </row>
    <row r="494" spans="1:55" ht="12.95" customHeight="1">
      <c r="B494" s="121" t="s">
        <v>1667</v>
      </c>
      <c r="C494" s="5"/>
      <c r="D494" s="5"/>
      <c r="E494" s="5"/>
      <c r="F494" s="5"/>
      <c r="G494" s="5"/>
      <c r="H494" s="5"/>
      <c r="I494" s="5"/>
      <c r="J494" s="5"/>
      <c r="K494" s="5"/>
      <c r="L494" s="5"/>
      <c r="M494" s="5"/>
      <c r="N494" s="5"/>
      <c r="O494" s="5"/>
      <c r="P494" s="5"/>
      <c r="Q494" s="1584">
        <v>134</v>
      </c>
      <c r="R494" s="1656"/>
      <c r="S494" s="1656"/>
      <c r="T494" s="1656"/>
      <c r="U494" s="1656"/>
      <c r="V494" s="1656"/>
      <c r="W494" s="1656"/>
      <c r="X494" s="1656"/>
      <c r="Y494" s="1656"/>
      <c r="Z494" s="1656"/>
      <c r="AA494" s="1656"/>
      <c r="AB494" s="1656"/>
      <c r="AC494" s="1656"/>
      <c r="AD494" s="1656"/>
      <c r="AE494" s="1656"/>
      <c r="AF494" s="1656"/>
      <c r="AG494" s="1656"/>
      <c r="AH494" s="1656"/>
      <c r="AI494" s="1656"/>
      <c r="AJ494" s="1656"/>
      <c r="AK494" s="1585"/>
      <c r="AZ494" s="3"/>
      <c r="BA494" s="3"/>
      <c r="BB494" s="3"/>
      <c r="BC494" s="3"/>
    </row>
    <row r="495" spans="1:55" ht="12.95" customHeight="1">
      <c r="B495" s="121" t="s">
        <v>1668</v>
      </c>
      <c r="C495" s="5"/>
      <c r="D495" s="5"/>
      <c r="E495" s="5"/>
      <c r="F495" s="5"/>
      <c r="G495" s="5"/>
      <c r="H495" s="5"/>
      <c r="I495" s="5"/>
      <c r="J495" s="5"/>
      <c r="K495" s="5"/>
      <c r="L495" s="5"/>
      <c r="M495" s="1601">
        <v>134</v>
      </c>
      <c r="N495" s="1602"/>
      <c r="O495" s="1602"/>
      <c r="P495" s="1603"/>
      <c r="Q495" s="121" t="s">
        <v>1669</v>
      </c>
      <c r="R495" s="5"/>
      <c r="S495" s="5"/>
      <c r="T495" s="5"/>
      <c r="U495" s="5"/>
      <c r="V495" s="5"/>
      <c r="W495" s="5"/>
      <c r="X495" s="5"/>
      <c r="Y495" s="5"/>
      <c r="Z495" s="5"/>
      <c r="AA495" s="5"/>
      <c r="AB495" s="5"/>
      <c r="AC495" s="5"/>
      <c r="AD495" s="5"/>
      <c r="AE495" s="5"/>
      <c r="AF495" s="5"/>
      <c r="AG495" s="5"/>
      <c r="AH495" s="1601"/>
      <c r="AI495" s="1602"/>
      <c r="AJ495" s="1602"/>
      <c r="AK495" s="160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59" t="s">
        <v>401</v>
      </c>
      <c r="AD499" s="1760"/>
      <c r="AE499" s="1760"/>
      <c r="AF499" s="1760"/>
      <c r="AG499" s="1760"/>
      <c r="AH499" s="1760"/>
      <c r="AI499" s="1760"/>
      <c r="AJ499" s="1760"/>
      <c r="AK499" s="1772"/>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59" t="s">
        <v>402</v>
      </c>
      <c r="AD500" s="1760"/>
      <c r="AE500" s="1760"/>
      <c r="AF500" s="1760"/>
      <c r="AG500" s="50" t="s">
        <v>403</v>
      </c>
      <c r="AH500" s="1760" t="s">
        <v>404</v>
      </c>
      <c r="AI500" s="1760"/>
      <c r="AJ500" s="1760"/>
      <c r="AK500" s="1772"/>
      <c r="AZ500" s="3"/>
      <c r="BA500" s="3"/>
      <c r="BB500" s="3"/>
      <c r="BC500" s="3"/>
      <c r="BD500" s="3"/>
      <c r="BE500" s="3"/>
      <c r="BF500" s="3"/>
      <c r="BG500" s="3"/>
      <c r="BH500" s="3"/>
      <c r="BI500" s="3"/>
      <c r="BJ500" s="3"/>
      <c r="BK500" s="3"/>
      <c r="BL500" s="3"/>
      <c r="BM500" s="3"/>
      <c r="BN500" s="3"/>
    </row>
    <row r="501" spans="1:66" ht="12.95" customHeight="1">
      <c r="B501" s="1692" t="s">
        <v>405</v>
      </c>
      <c r="C501" s="1435"/>
      <c r="D501" s="1435"/>
      <c r="E501" s="1435"/>
      <c r="F501" s="1435"/>
      <c r="G501" s="1435"/>
      <c r="H501" s="1436"/>
      <c r="I501" s="42" t="s">
        <v>406</v>
      </c>
      <c r="J501" s="42"/>
      <c r="K501" s="42"/>
      <c r="L501" s="42"/>
      <c r="M501" s="42"/>
      <c r="N501" s="42"/>
      <c r="O501" s="42"/>
      <c r="P501" s="42"/>
      <c r="Q501" s="42"/>
      <c r="R501" s="42"/>
      <c r="S501" s="42"/>
      <c r="T501" s="42"/>
      <c r="U501" s="42"/>
      <c r="V501" s="42"/>
      <c r="W501" s="42"/>
      <c r="AC501" s="1731" t="s">
        <v>591</v>
      </c>
      <c r="AD501" s="1727"/>
      <c r="AE501" s="1727"/>
      <c r="AF501" s="1727"/>
      <c r="AG501" s="13" t="s">
        <v>403</v>
      </c>
      <c r="AH501" s="1376">
        <v>0</v>
      </c>
      <c r="AI501" s="1376"/>
      <c r="AJ501" s="1376"/>
      <c r="AK501" s="1377"/>
      <c r="AZ501" s="3"/>
      <c r="BA501" s="3"/>
      <c r="BB501" s="3"/>
      <c r="BC501" s="3"/>
      <c r="BD501" s="3"/>
      <c r="BE501" s="3"/>
      <c r="BF501" s="3"/>
      <c r="BG501" s="3"/>
      <c r="BH501" s="3"/>
      <c r="BI501" s="3"/>
      <c r="BJ501" s="3"/>
      <c r="BK501" s="3"/>
      <c r="BL501" s="3"/>
      <c r="BM501" s="3"/>
      <c r="BN501" s="3"/>
    </row>
    <row r="502" spans="1:66" ht="12.95" customHeight="1">
      <c r="B502" s="1693"/>
      <c r="C502" s="1437"/>
      <c r="D502" s="1437"/>
      <c r="E502" s="1437"/>
      <c r="F502" s="1437"/>
      <c r="G502" s="1437"/>
      <c r="H502" s="1438"/>
      <c r="I502" s="48" t="s">
        <v>407</v>
      </c>
      <c r="J502" s="48"/>
      <c r="K502" s="48"/>
      <c r="L502" s="48"/>
      <c r="M502" s="48"/>
      <c r="N502" s="48"/>
      <c r="O502" s="48"/>
      <c r="P502" s="48"/>
      <c r="Q502" s="48"/>
      <c r="R502" s="48"/>
      <c r="S502" s="48"/>
      <c r="T502" s="48"/>
      <c r="U502" s="48"/>
      <c r="V502" s="48"/>
      <c r="W502" s="48"/>
      <c r="X502" s="48"/>
      <c r="Y502" s="48"/>
      <c r="Z502" s="48"/>
      <c r="AA502" s="48"/>
      <c r="AB502" s="48"/>
      <c r="AC502" s="1731">
        <v>10</v>
      </c>
      <c r="AD502" s="1727"/>
      <c r="AE502" s="1727"/>
      <c r="AF502" s="1727"/>
      <c r="AG502" s="38" t="s">
        <v>403</v>
      </c>
      <c r="AH502" s="1376">
        <v>2025</v>
      </c>
      <c r="AI502" s="1376"/>
      <c r="AJ502" s="1376"/>
      <c r="AK502" s="1377"/>
      <c r="AZ502" s="3"/>
      <c r="BA502" s="3"/>
      <c r="BB502" s="3"/>
      <c r="BC502" s="3"/>
      <c r="BD502" s="3"/>
      <c r="BE502" s="3"/>
      <c r="BF502" s="3"/>
      <c r="BG502" s="3"/>
      <c r="BH502" s="3"/>
      <c r="BI502" s="3"/>
      <c r="BJ502" s="3"/>
      <c r="BK502" s="3"/>
      <c r="BL502" s="3"/>
      <c r="BM502" s="3"/>
      <c r="BN502" s="3"/>
    </row>
    <row r="503" spans="1:66" ht="12.95" customHeight="1">
      <c r="B503" s="1692" t="s">
        <v>408</v>
      </c>
      <c r="C503" s="1435"/>
      <c r="D503" s="1435"/>
      <c r="E503" s="1435"/>
      <c r="F503" s="1435"/>
      <c r="G503" s="1435"/>
      <c r="H503" s="1436"/>
      <c r="I503" s="42" t="s">
        <v>409</v>
      </c>
      <c r="J503" s="42"/>
      <c r="K503" s="42"/>
      <c r="L503" s="42"/>
      <c r="M503" s="42"/>
      <c r="N503" s="42"/>
      <c r="O503" s="42"/>
      <c r="P503" s="42"/>
      <c r="Q503" s="42"/>
      <c r="R503" s="42"/>
      <c r="S503" s="42"/>
      <c r="T503" s="42"/>
      <c r="U503" s="42"/>
      <c r="V503" s="42"/>
      <c r="W503" s="42"/>
      <c r="AC503" s="1731" t="s">
        <v>591</v>
      </c>
      <c r="AD503" s="1727"/>
      <c r="AE503" s="1727"/>
      <c r="AF503" s="1727"/>
      <c r="AG503" s="13" t="s">
        <v>403</v>
      </c>
      <c r="AH503" s="1376"/>
      <c r="AI503" s="1376"/>
      <c r="AJ503" s="1376"/>
      <c r="AK503" s="1377"/>
      <c r="AZ503" s="3"/>
      <c r="BA503" s="3"/>
      <c r="BB503" s="3"/>
      <c r="BC503" s="3"/>
      <c r="BD503" s="3"/>
      <c r="BE503" s="3"/>
      <c r="BF503" s="3"/>
      <c r="BG503" s="3"/>
      <c r="BH503" s="3"/>
      <c r="BI503" s="3"/>
      <c r="BJ503" s="3"/>
      <c r="BK503" s="3"/>
      <c r="BL503" s="3"/>
      <c r="BM503" s="3"/>
      <c r="BN503" s="3"/>
    </row>
    <row r="504" spans="1:66" ht="12.95" customHeight="1">
      <c r="B504" s="1693"/>
      <c r="C504" s="1437"/>
      <c r="D504" s="1437"/>
      <c r="E504" s="1437"/>
      <c r="F504" s="1437"/>
      <c r="G504" s="1437"/>
      <c r="H504" s="1438"/>
      <c r="I504" t="s">
        <v>410</v>
      </c>
      <c r="AC504" s="1731" t="s">
        <v>591</v>
      </c>
      <c r="AD504" s="1727"/>
      <c r="AE504" s="1727"/>
      <c r="AF504" s="1727"/>
      <c r="AG504" s="13" t="s">
        <v>403</v>
      </c>
      <c r="AH504" s="1376"/>
      <c r="AI504" s="1376"/>
      <c r="AJ504" s="1376"/>
      <c r="AK504" s="1377"/>
      <c r="AZ504" s="3"/>
      <c r="BA504" s="3"/>
      <c r="BB504" s="3"/>
      <c r="BC504" s="3"/>
      <c r="BD504" s="3"/>
      <c r="BE504" s="3"/>
      <c r="BF504" s="3"/>
      <c r="BG504" s="3"/>
      <c r="BH504" s="3"/>
      <c r="BI504" s="3"/>
      <c r="BJ504" s="3"/>
      <c r="BK504" s="3"/>
      <c r="BL504" s="3"/>
      <c r="BM504" s="3"/>
      <c r="BN504" s="3"/>
    </row>
    <row r="505" spans="1:66" ht="12.95" customHeight="1">
      <c r="B505" s="1693"/>
      <c r="C505" s="1437"/>
      <c r="D505" s="1437"/>
      <c r="E505" s="1437"/>
      <c r="F505" s="1437"/>
      <c r="G505" s="1437"/>
      <c r="H505" s="1438"/>
      <c r="I505" t="s">
        <v>411</v>
      </c>
      <c r="AC505" s="1731">
        <v>1</v>
      </c>
      <c r="AD505" s="1727"/>
      <c r="AE505" s="1727"/>
      <c r="AF505" s="1727"/>
      <c r="AG505" s="13" t="s">
        <v>403</v>
      </c>
      <c r="AH505" s="1376">
        <v>2026</v>
      </c>
      <c r="AI505" s="1376"/>
      <c r="AJ505" s="1376"/>
      <c r="AK505" s="1377"/>
      <c r="AZ505" s="3"/>
      <c r="BA505" s="3"/>
      <c r="BB505" s="3"/>
      <c r="BC505" s="3"/>
      <c r="BD505" s="3"/>
      <c r="BE505" s="3"/>
      <c r="BF505" s="3"/>
      <c r="BG505" s="3"/>
      <c r="BH505" s="3"/>
      <c r="BI505" s="3"/>
      <c r="BJ505" s="3"/>
      <c r="BK505" s="3"/>
      <c r="BL505" s="3"/>
      <c r="BM505" s="3"/>
      <c r="BN505" s="3"/>
    </row>
    <row r="506" spans="1:66" ht="12.95" customHeight="1">
      <c r="B506" s="1693"/>
      <c r="C506" s="1437"/>
      <c r="D506" s="1437"/>
      <c r="E506" s="1437"/>
      <c r="F506" s="1437"/>
      <c r="G506" s="1437"/>
      <c r="H506" s="1438"/>
      <c r="I506" t="s">
        <v>412</v>
      </c>
      <c r="AC506" s="1731">
        <v>1</v>
      </c>
      <c r="AD506" s="1727"/>
      <c r="AE506" s="1727"/>
      <c r="AF506" s="1727"/>
      <c r="AG506" s="13" t="s">
        <v>403</v>
      </c>
      <c r="AH506" s="1376">
        <v>2026</v>
      </c>
      <c r="AI506" s="1376"/>
      <c r="AJ506" s="1376"/>
      <c r="AK506" s="1377"/>
      <c r="AZ506" s="3"/>
      <c r="BA506" s="3"/>
      <c r="BB506" s="3"/>
      <c r="BC506" s="3"/>
      <c r="BD506" s="3"/>
      <c r="BE506" s="3"/>
      <c r="BF506" s="3"/>
      <c r="BG506" s="3"/>
      <c r="BH506" s="3"/>
      <c r="BI506" s="3"/>
      <c r="BJ506" s="3"/>
      <c r="BK506" s="3"/>
      <c r="BL506" s="3"/>
      <c r="BM506" s="3"/>
      <c r="BN506" s="3"/>
    </row>
    <row r="507" spans="1:66" ht="12.95" customHeight="1">
      <c r="B507" s="1693"/>
      <c r="C507" s="1437"/>
      <c r="D507" s="1437"/>
      <c r="E507" s="1437"/>
      <c r="F507" s="1437"/>
      <c r="G507" s="1437"/>
      <c r="H507" s="1438"/>
      <c r="I507" s="3" t="s">
        <v>413</v>
      </c>
      <c r="AC507" s="1365">
        <v>1</v>
      </c>
      <c r="AD507" s="1366"/>
      <c r="AE507" s="1366"/>
      <c r="AF507" s="1366"/>
      <c r="AG507" s="13" t="s">
        <v>403</v>
      </c>
      <c r="AH507" s="1376">
        <v>2026</v>
      </c>
      <c r="AI507" s="1376"/>
      <c r="AJ507" s="1376"/>
      <c r="AK507" s="1377"/>
      <c r="AZ507" s="3"/>
      <c r="BA507" s="3"/>
      <c r="BB507" s="3"/>
      <c r="BC507" s="3"/>
      <c r="BD507" s="3"/>
      <c r="BE507" s="3"/>
      <c r="BF507" s="3"/>
      <c r="BG507" s="3"/>
      <c r="BH507" s="3"/>
      <c r="BI507" s="3"/>
      <c r="BJ507" s="3"/>
      <c r="BK507" s="3"/>
      <c r="BL507" s="3"/>
      <c r="BM507" s="3"/>
      <c r="BN507" s="3"/>
    </row>
    <row r="508" spans="1:66" ht="12.95" customHeight="1">
      <c r="B508" s="1693"/>
      <c r="C508" s="1437"/>
      <c r="D508" s="1437"/>
      <c r="E508" s="1437"/>
      <c r="F508" s="1437"/>
      <c r="G508" s="1437"/>
      <c r="H508" s="1438"/>
      <c r="I508" s="896" t="s">
        <v>170</v>
      </c>
      <c r="J508" s="48"/>
      <c r="K508" s="48"/>
      <c r="L508" s="1736" t="s">
        <v>334</v>
      </c>
      <c r="M508" s="1737"/>
      <c r="N508" s="1737"/>
      <c r="O508" s="1737"/>
      <c r="P508" s="1737"/>
      <c r="Q508" s="1737"/>
      <c r="R508" s="1737"/>
      <c r="S508" s="1737"/>
      <c r="T508" s="1737"/>
      <c r="U508" s="1737"/>
      <c r="V508" s="1737"/>
      <c r="W508" s="1737"/>
      <c r="X508" s="1737"/>
      <c r="Y508" s="1737"/>
      <c r="Z508" s="1737"/>
      <c r="AA508" s="1737"/>
      <c r="AB508" s="1753"/>
      <c r="AC508" s="1731" t="s">
        <v>591</v>
      </c>
      <c r="AD508" s="1727"/>
      <c r="AE508" s="1727"/>
      <c r="AF508" s="1727"/>
      <c r="AG508" s="38" t="s">
        <v>403</v>
      </c>
      <c r="AH508" s="1376"/>
      <c r="AI508" s="1376"/>
      <c r="AJ508" s="1376"/>
      <c r="AK508" s="1377"/>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1674</v>
      </c>
      <c r="AC509" s="1828" t="s">
        <v>669</v>
      </c>
      <c r="AD509" s="1828"/>
      <c r="AE509" s="1828"/>
      <c r="AF509" s="1828"/>
      <c r="AG509" s="13"/>
      <c r="AH509" s="1334"/>
      <c r="AI509" s="1334"/>
      <c r="AJ509" s="1334"/>
      <c r="AK509" s="1450"/>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1671</v>
      </c>
      <c r="AC510" s="1365"/>
      <c r="AD510" s="1366"/>
      <c r="AE510" s="1366"/>
      <c r="AF510" s="1367"/>
      <c r="AG510" s="13"/>
      <c r="AH510" s="1334"/>
      <c r="AI510" s="1334"/>
      <c r="AJ510" s="1334"/>
      <c r="AK510" s="1450"/>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1672</v>
      </c>
      <c r="AC511" s="890"/>
      <c r="AD511" s="891"/>
      <c r="AE511" s="891"/>
      <c r="AF511" s="892"/>
      <c r="AG511" s="13"/>
      <c r="AH511" s="1"/>
      <c r="AI511" s="1"/>
      <c r="AJ511" s="1"/>
      <c r="AK511" s="1005"/>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763">
        <v>0.25</v>
      </c>
      <c r="AD512" s="1764"/>
      <c r="AE512" s="1764"/>
      <c r="AF512" s="1765"/>
      <c r="AG512" s="38"/>
      <c r="AH512" s="1757"/>
      <c r="AI512" s="1757"/>
      <c r="AJ512" s="1757"/>
      <c r="AK512" s="1758"/>
      <c r="AZ512" s="3"/>
      <c r="BA512" s="3"/>
      <c r="BB512" s="3"/>
      <c r="BC512" s="3"/>
      <c r="BD512" s="3"/>
      <c r="BE512" s="3"/>
      <c r="BF512" s="3"/>
      <c r="BG512" s="3"/>
      <c r="BH512" s="3"/>
      <c r="BI512" s="3"/>
      <c r="BJ512" s="3"/>
      <c r="BK512" s="3"/>
      <c r="BL512" s="3"/>
      <c r="BM512" s="3"/>
      <c r="BN512" s="3" t="s">
        <v>1183</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6"/>
      <c r="Y513" s="1006"/>
      <c r="Z513" s="1006"/>
      <c r="AA513" s="1006"/>
      <c r="AB513" s="1013"/>
      <c r="AC513" s="1730" t="s">
        <v>402</v>
      </c>
      <c r="AD513" s="1582"/>
      <c r="AE513" s="1582"/>
      <c r="AF513" s="1582"/>
      <c r="AG513" s="38" t="s">
        <v>403</v>
      </c>
      <c r="AH513" s="1582" t="s">
        <v>404</v>
      </c>
      <c r="AI513" s="1582"/>
      <c r="AJ513" s="1582"/>
      <c r="AK513" s="1752"/>
      <c r="AZ513" s="3"/>
      <c r="BA513" s="3"/>
      <c r="BB513" s="3"/>
      <c r="BC513" s="3"/>
      <c r="BD513" s="3"/>
      <c r="BE513" s="3"/>
      <c r="BF513" s="3"/>
      <c r="BG513" s="3"/>
      <c r="BH513" s="3"/>
      <c r="BI513" s="3"/>
      <c r="BJ513" s="3"/>
      <c r="BK513" s="3"/>
      <c r="BL513" s="3"/>
      <c r="BM513" s="3"/>
      <c r="BN513" s="3" t="s">
        <v>2104</v>
      </c>
    </row>
    <row r="514" spans="2:66" ht="12.95" customHeight="1">
      <c r="B514" s="1692" t="s">
        <v>414</v>
      </c>
      <c r="C514" s="1435"/>
      <c r="D514" s="1435"/>
      <c r="E514" s="1435"/>
      <c r="F514" s="1435"/>
      <c r="G514" s="1435"/>
      <c r="H514" s="1436"/>
      <c r="I514" s="42" t="s">
        <v>415</v>
      </c>
      <c r="J514" s="42"/>
      <c r="K514" s="42"/>
      <c r="L514" s="42"/>
      <c r="M514" s="42"/>
      <c r="N514" s="42"/>
      <c r="O514" s="42"/>
      <c r="P514" s="42"/>
      <c r="Q514" s="42"/>
      <c r="R514" s="42"/>
      <c r="S514" s="42"/>
      <c r="T514" s="42"/>
      <c r="U514" s="42"/>
      <c r="V514" s="42"/>
      <c r="W514" s="42"/>
      <c r="AC514" s="1731">
        <v>5</v>
      </c>
      <c r="AD514" s="1727"/>
      <c r="AE514" s="1727"/>
      <c r="AF514" s="1727"/>
      <c r="AG514" s="13" t="s">
        <v>403</v>
      </c>
      <c r="AH514" s="1376">
        <v>2025</v>
      </c>
      <c r="AI514" s="1376"/>
      <c r="AJ514" s="1376"/>
      <c r="AK514" s="1377"/>
      <c r="AZ514" s="3"/>
      <c r="BA514" s="3"/>
      <c r="BB514" s="3"/>
      <c r="BC514" s="3"/>
      <c r="BD514" s="3"/>
      <c r="BE514" s="3"/>
      <c r="BF514" s="3"/>
      <c r="BG514" s="3"/>
      <c r="BH514" s="3"/>
      <c r="BI514" s="3"/>
      <c r="BJ514" s="3"/>
      <c r="BK514" s="3"/>
      <c r="BL514" s="3"/>
      <c r="BM514" s="3"/>
      <c r="BN514" s="3" t="s">
        <v>2105</v>
      </c>
    </row>
    <row r="515" spans="2:66" ht="12.95" customHeight="1">
      <c r="B515" s="1693"/>
      <c r="C515" s="1437"/>
      <c r="D515" s="1437"/>
      <c r="E515" s="1437"/>
      <c r="F515" s="1437"/>
      <c r="G515" s="1437"/>
      <c r="H515" s="1438"/>
      <c r="I515" t="s">
        <v>416</v>
      </c>
      <c r="AC515" s="1731">
        <v>5</v>
      </c>
      <c r="AD515" s="1727"/>
      <c r="AE515" s="1727"/>
      <c r="AF515" s="1727"/>
      <c r="AG515" s="13" t="s">
        <v>403</v>
      </c>
      <c r="AH515" s="1376">
        <v>2025</v>
      </c>
      <c r="AI515" s="1376"/>
      <c r="AJ515" s="1376"/>
      <c r="AK515" s="1377"/>
      <c r="AZ515" s="3"/>
      <c r="BA515" s="3"/>
      <c r="BB515" s="3"/>
      <c r="BC515" s="3"/>
      <c r="BD515" s="3"/>
      <c r="BE515" s="3"/>
      <c r="BF515" s="3"/>
      <c r="BG515" s="3"/>
      <c r="BH515" s="3"/>
      <c r="BI515" s="3"/>
      <c r="BJ515" s="3"/>
      <c r="BK515" s="3"/>
      <c r="BL515" s="3"/>
      <c r="BM515" s="3"/>
      <c r="BN515" s="3" t="s">
        <v>2106</v>
      </c>
    </row>
    <row r="516" spans="2:66" ht="12.95" customHeight="1">
      <c r="B516" s="1693"/>
      <c r="C516" s="1437"/>
      <c r="D516" s="1437"/>
      <c r="E516" s="1437"/>
      <c r="F516" s="1437"/>
      <c r="G516" s="1437"/>
      <c r="H516" s="1438"/>
      <c r="I516" s="48" t="s">
        <v>417</v>
      </c>
      <c r="J516" s="48"/>
      <c r="K516" s="48"/>
      <c r="L516" s="48"/>
      <c r="M516" s="48"/>
      <c r="N516" s="48"/>
      <c r="O516" s="48"/>
      <c r="P516" s="48"/>
      <c r="Q516" s="48"/>
      <c r="R516" s="48"/>
      <c r="S516" s="48"/>
      <c r="T516" s="48"/>
      <c r="U516" s="48"/>
      <c r="V516" s="48"/>
      <c r="W516" s="48"/>
      <c r="X516" s="48"/>
      <c r="Y516" s="48"/>
      <c r="Z516" s="48"/>
      <c r="AA516" s="48"/>
      <c r="AB516" s="48"/>
      <c r="AC516" s="1731">
        <v>1</v>
      </c>
      <c r="AD516" s="1727"/>
      <c r="AE516" s="1727"/>
      <c r="AF516" s="1727"/>
      <c r="AG516" s="38" t="s">
        <v>403</v>
      </c>
      <c r="AH516" s="1376">
        <v>2026</v>
      </c>
      <c r="AI516" s="1376"/>
      <c r="AJ516" s="1376"/>
      <c r="AK516" s="1377"/>
      <c r="AZ516" s="3"/>
      <c r="BA516" s="3"/>
      <c r="BB516" s="3"/>
      <c r="BC516" s="3"/>
      <c r="BD516" s="3"/>
      <c r="BE516" s="3"/>
      <c r="BF516" s="3"/>
      <c r="BG516" s="3"/>
      <c r="BH516" s="3"/>
      <c r="BI516" s="3"/>
      <c r="BJ516" s="3"/>
      <c r="BK516" s="3"/>
      <c r="BL516" s="3"/>
      <c r="BM516" s="3"/>
      <c r="BN516" s="3" t="s">
        <v>2107</v>
      </c>
    </row>
    <row r="517" spans="2:66" ht="12.95" customHeight="1">
      <c r="B517" s="1692" t="s">
        <v>418</v>
      </c>
      <c r="C517" s="1435"/>
      <c r="D517" s="1435"/>
      <c r="E517" s="1435"/>
      <c r="F517" s="1435"/>
      <c r="G517" s="1435"/>
      <c r="H517" s="1436"/>
      <c r="I517" s="42" t="s">
        <v>415</v>
      </c>
      <c r="J517" s="42"/>
      <c r="K517" s="42"/>
      <c r="L517" s="42"/>
      <c r="M517" s="42"/>
      <c r="N517" s="42"/>
      <c r="O517" s="42"/>
      <c r="P517" s="42"/>
      <c r="Q517" s="42"/>
      <c r="R517" s="42"/>
      <c r="S517" s="42"/>
      <c r="T517" s="42"/>
      <c r="U517" s="42"/>
      <c r="V517" s="42"/>
      <c r="W517" s="42"/>
      <c r="X517" s="42"/>
      <c r="Y517" s="42"/>
      <c r="Z517" s="42"/>
      <c r="AA517" s="42"/>
      <c r="AB517" s="42"/>
      <c r="AC517" s="1365">
        <v>5</v>
      </c>
      <c r="AD517" s="1366"/>
      <c r="AE517" s="1366"/>
      <c r="AF517" s="1366"/>
      <c r="AG517" s="129" t="s">
        <v>403</v>
      </c>
      <c r="AH517" s="1376">
        <v>2025</v>
      </c>
      <c r="AI517" s="1376"/>
      <c r="AJ517" s="1376"/>
      <c r="AK517" s="1377"/>
      <c r="AZ517" s="3"/>
      <c r="BB517" s="3"/>
      <c r="BC517" s="3"/>
      <c r="BD517" s="3"/>
      <c r="BE517" s="3"/>
      <c r="BF517" s="3"/>
      <c r="BG517" s="3"/>
      <c r="BH517" s="3"/>
      <c r="BI517" s="3"/>
      <c r="BJ517" s="3"/>
      <c r="BK517" s="3"/>
      <c r="BL517" s="3"/>
      <c r="BM517" s="3"/>
      <c r="BN517" s="3" t="s">
        <v>2108</v>
      </c>
    </row>
    <row r="518" spans="2:66" ht="12.95" customHeight="1">
      <c r="B518" s="1693"/>
      <c r="C518" s="1437"/>
      <c r="D518" s="1437"/>
      <c r="E518" s="1437"/>
      <c r="F518" s="1437"/>
      <c r="G518" s="1437"/>
      <c r="H518" s="1438"/>
      <c r="I518" t="s">
        <v>416</v>
      </c>
      <c r="AC518" s="1731">
        <v>5</v>
      </c>
      <c r="AD518" s="1727"/>
      <c r="AE518" s="1727"/>
      <c r="AF518" s="1727"/>
      <c r="AG518" s="13" t="s">
        <v>403</v>
      </c>
      <c r="AH518" s="1376">
        <v>2025</v>
      </c>
      <c r="AI518" s="1376"/>
      <c r="AJ518" s="1376"/>
      <c r="AK518" s="1377"/>
      <c r="BB518" s="3"/>
      <c r="BC518" s="3"/>
      <c r="BD518" s="3"/>
      <c r="BE518" s="3"/>
      <c r="BF518" s="3"/>
      <c r="BG518" s="3"/>
      <c r="BH518" s="3"/>
      <c r="BI518" s="3"/>
      <c r="BJ518" s="3"/>
      <c r="BK518" s="3"/>
      <c r="BL518" s="3"/>
      <c r="BM518" s="3"/>
      <c r="BN518" s="3" t="s">
        <v>2109</v>
      </c>
    </row>
    <row r="519" spans="2:66" ht="12.95" customHeight="1">
      <c r="B519" s="1694"/>
      <c r="C519" s="1439"/>
      <c r="D519" s="1439"/>
      <c r="E519" s="1439"/>
      <c r="F519" s="1439"/>
      <c r="G519" s="1439"/>
      <c r="H519" s="1440"/>
      <c r="I519" s="48" t="s">
        <v>417</v>
      </c>
      <c r="J519" s="48"/>
      <c r="K519" s="48"/>
      <c r="L519" s="48"/>
      <c r="M519" s="48"/>
      <c r="N519" s="48"/>
      <c r="O519" s="48"/>
      <c r="P519" s="48"/>
      <c r="Q519" s="48"/>
      <c r="R519" s="48"/>
      <c r="S519" s="48"/>
      <c r="T519" s="48"/>
      <c r="U519" s="48"/>
      <c r="V519" s="48"/>
      <c r="W519" s="48"/>
      <c r="X519" s="48"/>
      <c r="Y519" s="48"/>
      <c r="Z519" s="48"/>
      <c r="AA519" s="48"/>
      <c r="AB519" s="48"/>
      <c r="AC519" s="1731">
        <v>5</v>
      </c>
      <c r="AD519" s="1727"/>
      <c r="AE519" s="1727"/>
      <c r="AF519" s="1727"/>
      <c r="AG519" s="38" t="s">
        <v>403</v>
      </c>
      <c r="AH519" s="1376">
        <v>2029</v>
      </c>
      <c r="AI519" s="1376"/>
      <c r="AJ519" s="1376"/>
      <c r="AK519" s="1377"/>
      <c r="BB519" s="3"/>
      <c r="BC519" s="3"/>
      <c r="BD519" s="3"/>
      <c r="BE519" s="3"/>
      <c r="BF519" s="3"/>
      <c r="BG519" s="3"/>
      <c r="BH519" s="3"/>
      <c r="BI519" s="3"/>
      <c r="BJ519" s="3"/>
      <c r="BK519" s="3"/>
      <c r="BL519" s="3"/>
      <c r="BM519" s="3"/>
      <c r="BN519" s="3" t="s">
        <v>2110</v>
      </c>
    </row>
    <row r="520" spans="2:66" ht="12.95" customHeight="1">
      <c r="B520" s="1692" t="s">
        <v>419</v>
      </c>
      <c r="C520" s="1435"/>
      <c r="D520" s="1435"/>
      <c r="E520" s="1435"/>
      <c r="F520" s="1435"/>
      <c r="G520" s="1435"/>
      <c r="H520" s="1436"/>
      <c r="I520" s="41" t="s">
        <v>420</v>
      </c>
      <c r="J520" s="42"/>
      <c r="K520" s="42"/>
      <c r="L520" s="42"/>
      <c r="M520" s="42"/>
      <c r="N520" s="42"/>
      <c r="O520" s="1736" t="s">
        <v>334</v>
      </c>
      <c r="P520" s="1737"/>
      <c r="Q520" s="1737"/>
      <c r="R520" s="1737"/>
      <c r="S520" s="1737"/>
      <c r="T520" s="1737"/>
      <c r="U520" s="1737"/>
      <c r="V520" s="1737"/>
      <c r="W520" s="1737"/>
      <c r="X520" s="1737"/>
      <c r="Y520" s="1737"/>
      <c r="Z520" s="1737"/>
      <c r="AA520" s="1737"/>
      <c r="AB520" s="58"/>
      <c r="AC520" s="1365" t="s">
        <v>591</v>
      </c>
      <c r="AD520" s="1366"/>
      <c r="AE520" s="1366"/>
      <c r="AF520" s="1366"/>
      <c r="AG520" s="129" t="s">
        <v>403</v>
      </c>
      <c r="AH520" s="1376"/>
      <c r="AI520" s="1376"/>
      <c r="AJ520" s="1376"/>
      <c r="AK520" s="1377"/>
      <c r="AZ520" s="3"/>
      <c r="BB520" s="3"/>
      <c r="BC520" s="3"/>
      <c r="BD520" s="3"/>
      <c r="BE520" s="3"/>
      <c r="BF520" s="3"/>
      <c r="BG520" s="3"/>
      <c r="BH520" s="3"/>
      <c r="BI520" s="3"/>
      <c r="BJ520" s="3"/>
      <c r="BK520" s="3"/>
      <c r="BL520" s="3"/>
      <c r="BM520" s="3"/>
      <c r="BN520" s="3" t="s">
        <v>2111</v>
      </c>
    </row>
    <row r="521" spans="2:66" ht="12.95" customHeight="1">
      <c r="B521" s="1693"/>
      <c r="C521" s="1437"/>
      <c r="D521" s="1437"/>
      <c r="E521" s="1437"/>
      <c r="F521" s="1437"/>
      <c r="G521" s="1437"/>
      <c r="H521" s="1438"/>
      <c r="I521" s="114" t="s">
        <v>421</v>
      </c>
      <c r="AB521" s="65"/>
      <c r="AC521" s="1731" t="s">
        <v>591</v>
      </c>
      <c r="AD521" s="1727"/>
      <c r="AE521" s="1727"/>
      <c r="AF521" s="1727"/>
      <c r="AG521" s="13" t="s">
        <v>403</v>
      </c>
      <c r="AH521" s="1376"/>
      <c r="AI521" s="1376"/>
      <c r="AJ521" s="1376"/>
      <c r="AK521" s="1377"/>
      <c r="AZ521" s="3"/>
      <c r="BB521" s="3"/>
      <c r="BC521" s="3"/>
      <c r="BD521" s="3"/>
      <c r="BE521" s="3"/>
      <c r="BF521" s="3"/>
      <c r="BG521" s="3"/>
      <c r="BH521" s="3"/>
      <c r="BI521" s="3"/>
      <c r="BJ521" s="3"/>
      <c r="BK521" s="3"/>
      <c r="BL521" s="3"/>
      <c r="BM521" s="3"/>
      <c r="BN521" s="3" t="s">
        <v>2112</v>
      </c>
    </row>
    <row r="522" spans="2:66" ht="12.95" customHeight="1">
      <c r="B522" s="1693"/>
      <c r="C522" s="1437"/>
      <c r="D522" s="1437"/>
      <c r="E522" s="1437"/>
      <c r="F522" s="1437"/>
      <c r="G522" s="1437"/>
      <c r="H522" s="1438"/>
      <c r="I522" s="47" t="s">
        <v>422</v>
      </c>
      <c r="J522" s="48"/>
      <c r="K522" s="48"/>
      <c r="L522" s="48"/>
      <c r="M522" s="48"/>
      <c r="N522" s="48"/>
      <c r="O522" s="48"/>
      <c r="P522" s="48"/>
      <c r="Q522" s="48"/>
      <c r="R522" s="48"/>
      <c r="S522" s="48"/>
      <c r="T522" s="48"/>
      <c r="U522" s="48"/>
      <c r="V522" s="48"/>
      <c r="W522" s="48"/>
      <c r="X522" s="48"/>
      <c r="Y522" s="48"/>
      <c r="Z522" s="48"/>
      <c r="AA522" s="48"/>
      <c r="AB522" s="49"/>
      <c r="AC522" s="1731" t="s">
        <v>591</v>
      </c>
      <c r="AD522" s="1727"/>
      <c r="AE522" s="1727"/>
      <c r="AF522" s="1727"/>
      <c r="AG522" s="38" t="s">
        <v>403</v>
      </c>
      <c r="AH522" s="1376"/>
      <c r="AI522" s="1376"/>
      <c r="AJ522" s="1376"/>
      <c r="AK522" s="1377"/>
      <c r="AZ522" s="3"/>
      <c r="BA522" s="3"/>
      <c r="BB522" s="3"/>
      <c r="BC522" s="3"/>
      <c r="BD522" s="3"/>
      <c r="BE522" s="3"/>
      <c r="BF522" s="3"/>
      <c r="BG522" s="3"/>
      <c r="BH522" s="3"/>
      <c r="BI522" s="3"/>
      <c r="BJ522" s="3"/>
      <c r="BK522" s="3"/>
      <c r="BL522" s="3"/>
      <c r="BM522" s="3"/>
      <c r="BN522" s="3" t="s">
        <v>2113</v>
      </c>
    </row>
    <row r="523" spans="2:66" ht="12.95" customHeight="1">
      <c r="B523" s="1693"/>
      <c r="C523" s="1437"/>
      <c r="D523" s="1437"/>
      <c r="E523" s="1437"/>
      <c r="F523" s="1437"/>
      <c r="G523" s="1437"/>
      <c r="H523" s="1438"/>
      <c r="I523" s="42" t="s">
        <v>423</v>
      </c>
      <c r="J523" s="42"/>
      <c r="K523" s="42"/>
      <c r="L523" s="42"/>
      <c r="M523" s="42"/>
      <c r="N523" s="42"/>
      <c r="O523" s="1736" t="s">
        <v>334</v>
      </c>
      <c r="P523" s="1737"/>
      <c r="Q523" s="1737"/>
      <c r="R523" s="1737"/>
      <c r="S523" s="1737"/>
      <c r="T523" s="1737"/>
      <c r="U523" s="1737"/>
      <c r="V523" s="1737"/>
      <c r="W523" s="1737"/>
      <c r="X523" s="1737"/>
      <c r="Y523" s="1737"/>
      <c r="Z523" s="1737"/>
      <c r="AA523" s="1737"/>
      <c r="AC523" s="1731" t="s">
        <v>591</v>
      </c>
      <c r="AD523" s="1727"/>
      <c r="AE523" s="1727"/>
      <c r="AF523" s="1727"/>
      <c r="AG523" s="13" t="s">
        <v>403</v>
      </c>
      <c r="AH523" s="1376"/>
      <c r="AI523" s="1376"/>
      <c r="AJ523" s="1376"/>
      <c r="AK523" s="1377"/>
      <c r="AZ523" s="3"/>
      <c r="BA523" s="3"/>
      <c r="BB523" s="3"/>
      <c r="BC523" s="3"/>
      <c r="BD523" s="3"/>
      <c r="BE523" s="3"/>
      <c r="BF523" s="3"/>
      <c r="BG523" s="3"/>
      <c r="BH523" s="3"/>
      <c r="BI523" s="3"/>
      <c r="BJ523" s="3"/>
      <c r="BK523" s="3"/>
      <c r="BL523" s="3"/>
      <c r="BM523" s="3"/>
      <c r="BN523" s="3" t="s">
        <v>2114</v>
      </c>
    </row>
    <row r="524" spans="2:66" ht="12.95" customHeight="1">
      <c r="B524" s="1693"/>
      <c r="C524" s="1437"/>
      <c r="D524" s="1437"/>
      <c r="E524" s="1437"/>
      <c r="F524" s="1437"/>
      <c r="G524" s="1437"/>
      <c r="H524" s="1438"/>
      <c r="I524" t="s">
        <v>421</v>
      </c>
      <c r="AC524" s="1731" t="s">
        <v>591</v>
      </c>
      <c r="AD524" s="1727"/>
      <c r="AE524" s="1727"/>
      <c r="AF524" s="1727"/>
      <c r="AG524" s="13" t="s">
        <v>403</v>
      </c>
      <c r="AH524" s="1376"/>
      <c r="AI524" s="1376"/>
      <c r="AJ524" s="1376"/>
      <c r="AK524" s="1377"/>
      <c r="AZ524" s="3"/>
      <c r="BA524" s="3"/>
      <c r="BB524" s="3"/>
      <c r="BC524" s="3"/>
      <c r="BD524" s="3"/>
      <c r="BE524" s="3"/>
      <c r="BF524" s="3"/>
      <c r="BG524" s="3"/>
      <c r="BH524" s="3"/>
      <c r="BI524" s="3"/>
      <c r="BJ524" s="3"/>
      <c r="BK524" s="3"/>
      <c r="BL524" s="3"/>
      <c r="BM524" s="3"/>
      <c r="BN524" s="3" t="s">
        <v>2115</v>
      </c>
    </row>
    <row r="525" spans="2:66" ht="12.95" customHeight="1">
      <c r="B525" s="1693"/>
      <c r="C525" s="1437"/>
      <c r="D525" s="1437"/>
      <c r="E525" s="1437"/>
      <c r="F525" s="1437"/>
      <c r="G525" s="1437"/>
      <c r="H525" s="1438"/>
      <c r="I525" s="48" t="s">
        <v>422</v>
      </c>
      <c r="J525" s="48"/>
      <c r="K525" s="48"/>
      <c r="L525" s="48"/>
      <c r="M525" s="48"/>
      <c r="N525" s="48"/>
      <c r="O525" s="48"/>
      <c r="P525" s="48"/>
      <c r="Q525" s="48"/>
      <c r="R525" s="48"/>
      <c r="S525" s="48"/>
      <c r="T525" s="48"/>
      <c r="U525" s="48"/>
      <c r="V525" s="48"/>
      <c r="W525" s="48"/>
      <c r="X525" s="48"/>
      <c r="Y525" s="48"/>
      <c r="Z525" s="48"/>
      <c r="AA525" s="48"/>
      <c r="AB525" s="48"/>
      <c r="AC525" s="1731" t="s">
        <v>591</v>
      </c>
      <c r="AD525" s="1727"/>
      <c r="AE525" s="1727"/>
      <c r="AF525" s="1727"/>
      <c r="AG525" s="38" t="s">
        <v>403</v>
      </c>
      <c r="AH525" s="1376"/>
      <c r="AI525" s="1376"/>
      <c r="AJ525" s="1376"/>
      <c r="AK525" s="1377"/>
      <c r="AZ525" s="3"/>
      <c r="BA525" s="3"/>
      <c r="BB525" s="3"/>
      <c r="BC525" s="3"/>
      <c r="BD525" s="3"/>
      <c r="BE525" s="3"/>
      <c r="BF525" s="3"/>
      <c r="BG525" s="3"/>
      <c r="BH525" s="3"/>
      <c r="BI525" s="3"/>
      <c r="BJ525" s="3"/>
      <c r="BK525" s="3"/>
      <c r="BL525" s="3"/>
      <c r="BM525" s="3"/>
      <c r="BN525" s="3" t="s">
        <v>2116</v>
      </c>
    </row>
    <row r="526" spans="2:66" ht="12.95" customHeight="1">
      <c r="B526" s="1693"/>
      <c r="C526" s="1437"/>
      <c r="D526" s="1437"/>
      <c r="E526" s="1437"/>
      <c r="F526" s="1437"/>
      <c r="G526" s="1437"/>
      <c r="H526" s="1438"/>
      <c r="I526" s="42" t="s">
        <v>423</v>
      </c>
      <c r="J526" s="42"/>
      <c r="K526" s="42"/>
      <c r="L526" s="42"/>
      <c r="M526" s="42"/>
      <c r="N526" s="42"/>
      <c r="O526" s="1736" t="s">
        <v>334</v>
      </c>
      <c r="P526" s="1737"/>
      <c r="Q526" s="1737"/>
      <c r="R526" s="1737"/>
      <c r="S526" s="1737"/>
      <c r="T526" s="1737"/>
      <c r="U526" s="1737"/>
      <c r="V526" s="1737"/>
      <c r="W526" s="1737"/>
      <c r="X526" s="1737"/>
      <c r="Y526" s="1737"/>
      <c r="Z526" s="1737"/>
      <c r="AA526" s="1737"/>
      <c r="AC526" s="1731" t="s">
        <v>591</v>
      </c>
      <c r="AD526" s="1727"/>
      <c r="AE526" s="1727"/>
      <c r="AF526" s="1727"/>
      <c r="AG526" s="13" t="s">
        <v>403</v>
      </c>
      <c r="AH526" s="1376"/>
      <c r="AI526" s="1376"/>
      <c r="AJ526" s="1376"/>
      <c r="AK526" s="1377"/>
      <c r="AZ526" s="3"/>
      <c r="BA526" s="3"/>
      <c r="BB526" s="3"/>
      <c r="BC526" s="3"/>
      <c r="BD526" s="3"/>
      <c r="BE526" s="3"/>
      <c r="BF526" s="3"/>
      <c r="BG526" s="3"/>
      <c r="BH526" s="3"/>
      <c r="BI526" s="3"/>
      <c r="BJ526" s="3"/>
      <c r="BK526" s="3"/>
      <c r="BL526" s="3"/>
      <c r="BM526" s="3"/>
      <c r="BN526" s="3" t="s">
        <v>2117</v>
      </c>
    </row>
    <row r="527" spans="2:66" ht="12.95" customHeight="1">
      <c r="B527" s="1693"/>
      <c r="C527" s="1437"/>
      <c r="D527" s="1437"/>
      <c r="E527" s="1437"/>
      <c r="F527" s="1437"/>
      <c r="G527" s="1437"/>
      <c r="H527" s="1438"/>
      <c r="I527" t="s">
        <v>421</v>
      </c>
      <c r="AC527" s="1731" t="s">
        <v>591</v>
      </c>
      <c r="AD527" s="1727"/>
      <c r="AE527" s="1727"/>
      <c r="AF527" s="1727"/>
      <c r="AG527" s="13" t="s">
        <v>403</v>
      </c>
      <c r="AH527" s="1376"/>
      <c r="AI527" s="1376"/>
      <c r="AJ527" s="1376"/>
      <c r="AK527" s="1377"/>
      <c r="AZ527" s="3"/>
      <c r="BA527" s="3"/>
      <c r="BB527" s="3"/>
      <c r="BC527" s="3"/>
      <c r="BD527" s="3"/>
      <c r="BE527" s="3"/>
      <c r="BF527" s="3"/>
      <c r="BG527" s="3"/>
      <c r="BH527" s="3"/>
      <c r="BI527" s="3"/>
      <c r="BJ527" s="3"/>
      <c r="BK527" s="3"/>
      <c r="BL527" s="3"/>
      <c r="BM527" s="3"/>
      <c r="BN527" s="3" t="s">
        <v>2118</v>
      </c>
    </row>
    <row r="528" spans="2:66" ht="12.95" customHeight="1">
      <c r="B528" s="1693"/>
      <c r="C528" s="1437"/>
      <c r="D528" s="1437"/>
      <c r="E528" s="1437"/>
      <c r="F528" s="1437"/>
      <c r="G528" s="1437"/>
      <c r="H528" s="1438"/>
      <c r="I528" s="48" t="s">
        <v>422</v>
      </c>
      <c r="J528" s="48"/>
      <c r="K528" s="48"/>
      <c r="L528" s="48"/>
      <c r="M528" s="48"/>
      <c r="N528" s="48"/>
      <c r="O528" s="48"/>
      <c r="P528" s="48"/>
      <c r="Q528" s="48"/>
      <c r="R528" s="48"/>
      <c r="S528" s="48"/>
      <c r="T528" s="48"/>
      <c r="U528" s="48"/>
      <c r="V528" s="48"/>
      <c r="W528" s="48"/>
      <c r="X528" s="48"/>
      <c r="Y528" s="48"/>
      <c r="Z528" s="48"/>
      <c r="AA528" s="48"/>
      <c r="AB528" s="48"/>
      <c r="AC528" s="1731" t="s">
        <v>591</v>
      </c>
      <c r="AD528" s="1727"/>
      <c r="AE528" s="1727"/>
      <c r="AF528" s="1727"/>
      <c r="AG528" s="38" t="s">
        <v>403</v>
      </c>
      <c r="AH528" s="1376"/>
      <c r="AI528" s="1376"/>
      <c r="AJ528" s="1376"/>
      <c r="AK528" s="1377"/>
      <c r="AZ528" s="3"/>
      <c r="BA528" s="3"/>
      <c r="BB528" s="3"/>
      <c r="BC528" s="3"/>
      <c r="BD528" s="3"/>
      <c r="BE528" s="3"/>
      <c r="BF528" s="3"/>
      <c r="BG528" s="3"/>
      <c r="BH528" s="3"/>
      <c r="BI528" s="3"/>
      <c r="BJ528" s="3"/>
      <c r="BK528" s="3"/>
      <c r="BL528" s="3"/>
      <c r="BM528" s="3"/>
      <c r="BN528" s="3" t="s">
        <v>2119</v>
      </c>
    </row>
    <row r="529" spans="1:66" ht="12.95" customHeight="1">
      <c r="B529" s="1693"/>
      <c r="C529" s="1437"/>
      <c r="D529" s="1437"/>
      <c r="E529" s="1437"/>
      <c r="F529" s="1437"/>
      <c r="G529" s="1437"/>
      <c r="H529" s="1438"/>
      <c r="I529" s="42" t="s">
        <v>423</v>
      </c>
      <c r="J529" s="42"/>
      <c r="K529" s="42"/>
      <c r="L529" s="42"/>
      <c r="M529" s="42"/>
      <c r="N529" s="42"/>
      <c r="O529" s="1736" t="s">
        <v>334</v>
      </c>
      <c r="P529" s="1737"/>
      <c r="Q529" s="1737"/>
      <c r="R529" s="1737"/>
      <c r="S529" s="1737"/>
      <c r="T529" s="1737"/>
      <c r="U529" s="1737"/>
      <c r="V529" s="1737"/>
      <c r="W529" s="1737"/>
      <c r="X529" s="1737"/>
      <c r="Y529" s="1737"/>
      <c r="Z529" s="1737"/>
      <c r="AA529" s="1737"/>
      <c r="AC529" s="1731" t="s">
        <v>591</v>
      </c>
      <c r="AD529" s="1727"/>
      <c r="AE529" s="1727"/>
      <c r="AF529" s="1727"/>
      <c r="AG529" s="13" t="s">
        <v>403</v>
      </c>
      <c r="AH529" s="1376"/>
      <c r="AI529" s="1376"/>
      <c r="AJ529" s="1376"/>
      <c r="AK529" s="1377"/>
      <c r="AZ529" s="3"/>
      <c r="BA529" s="3"/>
      <c r="BB529" s="3"/>
      <c r="BC529" s="3"/>
      <c r="BD529" s="3"/>
      <c r="BE529" s="3"/>
      <c r="BF529" s="3"/>
      <c r="BG529" s="3"/>
      <c r="BH529" s="3"/>
      <c r="BI529" s="3"/>
      <c r="BJ529" s="3"/>
      <c r="BK529" s="3"/>
      <c r="BL529" s="3"/>
      <c r="BM529" s="3"/>
      <c r="BN529" s="3" t="s">
        <v>2120</v>
      </c>
    </row>
    <row r="530" spans="1:66" ht="12.95" customHeight="1">
      <c r="B530" s="1693"/>
      <c r="C530" s="1437"/>
      <c r="D530" s="1437"/>
      <c r="E530" s="1437"/>
      <c r="F530" s="1437"/>
      <c r="G530" s="1437"/>
      <c r="H530" s="1438"/>
      <c r="I530" t="s">
        <v>421</v>
      </c>
      <c r="AC530" s="1731" t="s">
        <v>591</v>
      </c>
      <c r="AD530" s="1727"/>
      <c r="AE530" s="1727"/>
      <c r="AF530" s="1727"/>
      <c r="AG530" s="13" t="s">
        <v>403</v>
      </c>
      <c r="AH530" s="1376"/>
      <c r="AI530" s="1376"/>
      <c r="AJ530" s="1376"/>
      <c r="AK530" s="1377"/>
      <c r="AZ530" s="3"/>
      <c r="BA530" s="3"/>
      <c r="BB530" s="3"/>
      <c r="BC530" s="3"/>
      <c r="BD530" s="3"/>
      <c r="BE530" s="3"/>
      <c r="BF530" s="3"/>
      <c r="BG530" s="3"/>
      <c r="BH530" s="3"/>
      <c r="BI530" s="3"/>
      <c r="BJ530" s="3"/>
      <c r="BK530" s="3"/>
      <c r="BL530" s="3"/>
      <c r="BM530" s="3"/>
      <c r="BN530" s="3" t="s">
        <v>2121</v>
      </c>
    </row>
    <row r="531" spans="1:66" ht="12.95" customHeight="1">
      <c r="B531" s="1693"/>
      <c r="C531" s="1437"/>
      <c r="D531" s="1437"/>
      <c r="E531" s="1437"/>
      <c r="F531" s="1437"/>
      <c r="G531" s="1437"/>
      <c r="H531" s="1438"/>
      <c r="I531" s="48" t="s">
        <v>422</v>
      </c>
      <c r="J531" s="48"/>
      <c r="K531" s="48"/>
      <c r="L531" s="48"/>
      <c r="M531" s="48"/>
      <c r="N531" s="48"/>
      <c r="O531" s="48"/>
      <c r="P531" s="48"/>
      <c r="Q531" s="48"/>
      <c r="R531" s="48"/>
      <c r="S531" s="48"/>
      <c r="T531" s="48"/>
      <c r="U531" s="48"/>
      <c r="V531" s="48"/>
      <c r="W531" s="48"/>
      <c r="X531" s="48"/>
      <c r="Y531" s="48"/>
      <c r="Z531" s="48"/>
      <c r="AA531" s="48"/>
      <c r="AB531" s="48"/>
      <c r="AC531" s="1731" t="s">
        <v>591</v>
      </c>
      <c r="AD531" s="1727"/>
      <c r="AE531" s="1727"/>
      <c r="AF531" s="1727"/>
      <c r="AG531" s="38" t="s">
        <v>403</v>
      </c>
      <c r="AH531" s="1376"/>
      <c r="AI531" s="1376"/>
      <c r="AJ531" s="1376"/>
      <c r="AK531" s="1377"/>
      <c r="AZ531" s="3"/>
      <c r="BA531" s="3"/>
      <c r="BB531" s="3"/>
      <c r="BC531" s="3"/>
      <c r="BD531" s="3"/>
      <c r="BE531" s="3"/>
      <c r="BF531" s="3"/>
      <c r="BG531" s="3"/>
      <c r="BH531" s="3"/>
      <c r="BI531" s="3"/>
      <c r="BJ531" s="3"/>
      <c r="BK531" s="3"/>
      <c r="BL531" s="3"/>
      <c r="BM531" s="3"/>
      <c r="BN531" s="3" t="s">
        <v>2122</v>
      </c>
    </row>
    <row r="532" spans="1:66" ht="12.95" customHeight="1">
      <c r="B532" s="1693"/>
      <c r="C532" s="1437"/>
      <c r="D532" s="1437"/>
      <c r="E532" s="1437"/>
      <c r="F532" s="1437"/>
      <c r="G532" s="1437"/>
      <c r="H532" s="1438"/>
      <c r="I532" s="42" t="s">
        <v>423</v>
      </c>
      <c r="J532" s="42"/>
      <c r="K532" s="42"/>
      <c r="L532" s="42"/>
      <c r="M532" s="42"/>
      <c r="N532" s="42"/>
      <c r="O532" s="1736" t="s">
        <v>334</v>
      </c>
      <c r="P532" s="1737"/>
      <c r="Q532" s="1737"/>
      <c r="R532" s="1737"/>
      <c r="S532" s="1737"/>
      <c r="T532" s="1737"/>
      <c r="U532" s="1737"/>
      <c r="V532" s="1737"/>
      <c r="W532" s="1737"/>
      <c r="X532" s="1737"/>
      <c r="Y532" s="1737"/>
      <c r="Z532" s="1737"/>
      <c r="AA532" s="1737"/>
      <c r="AC532" s="1731" t="s">
        <v>591</v>
      </c>
      <c r="AD532" s="1727"/>
      <c r="AE532" s="1727"/>
      <c r="AF532" s="1727"/>
      <c r="AG532" s="13" t="s">
        <v>403</v>
      </c>
      <c r="AH532" s="1376"/>
      <c r="AI532" s="1376"/>
      <c r="AJ532" s="1376"/>
      <c r="AK532" s="1377"/>
      <c r="AZ532" s="3"/>
      <c r="BA532" s="3"/>
      <c r="BB532" s="3"/>
      <c r="BC532" s="3"/>
      <c r="BD532" s="3"/>
      <c r="BE532" s="3"/>
      <c r="BF532" s="3"/>
      <c r="BG532" s="3"/>
      <c r="BH532" s="3"/>
      <c r="BI532" s="3"/>
      <c r="BJ532" s="3"/>
      <c r="BK532" s="3"/>
      <c r="BL532" s="3"/>
      <c r="BM532" s="3"/>
      <c r="BN532" s="3" t="s">
        <v>2123</v>
      </c>
    </row>
    <row r="533" spans="1:66" ht="12.95" customHeight="1">
      <c r="B533" s="1693"/>
      <c r="C533" s="1437"/>
      <c r="D533" s="1437"/>
      <c r="E533" s="1437"/>
      <c r="F533" s="1437"/>
      <c r="G533" s="1437"/>
      <c r="H533" s="1438"/>
      <c r="I533" t="s">
        <v>421</v>
      </c>
      <c r="AC533" s="1731" t="s">
        <v>591</v>
      </c>
      <c r="AD533" s="1727"/>
      <c r="AE533" s="1727"/>
      <c r="AF533" s="1727"/>
      <c r="AG533" s="38" t="s">
        <v>403</v>
      </c>
      <c r="AH533" s="1376"/>
      <c r="AI533" s="1376"/>
      <c r="AJ533" s="1376"/>
      <c r="AK533" s="1377"/>
      <c r="AZ533" s="3"/>
      <c r="BA533" s="3"/>
      <c r="BB533" s="3"/>
      <c r="BC533" s="3"/>
      <c r="BD533" s="3"/>
      <c r="BE533" s="3"/>
      <c r="BF533" s="3"/>
      <c r="BG533" s="3"/>
      <c r="BH533" s="3"/>
      <c r="BI533" s="3"/>
      <c r="BJ533" s="3"/>
      <c r="BK533" s="3"/>
      <c r="BL533" s="3"/>
      <c r="BM533" s="3"/>
      <c r="BN533" s="3" t="s">
        <v>2124</v>
      </c>
    </row>
    <row r="534" spans="1:66" ht="12.95" customHeight="1">
      <c r="B534" s="1693"/>
      <c r="C534" s="1437"/>
      <c r="D534" s="1437"/>
      <c r="E534" s="1437"/>
      <c r="F534" s="1437"/>
      <c r="G534" s="1437"/>
      <c r="H534" s="1438"/>
      <c r="I534" s="48" t="s">
        <v>422</v>
      </c>
      <c r="J534" s="48"/>
      <c r="K534" s="48"/>
      <c r="L534" s="48"/>
      <c r="M534" s="48"/>
      <c r="N534" s="48"/>
      <c r="O534" s="48"/>
      <c r="P534" s="48"/>
      <c r="Q534" s="48"/>
      <c r="R534" s="48"/>
      <c r="S534" s="48"/>
      <c r="T534" s="48"/>
      <c r="U534" s="48"/>
      <c r="V534" s="48"/>
      <c r="W534" s="48"/>
      <c r="X534" s="48"/>
      <c r="Y534" s="48"/>
      <c r="Z534" s="48"/>
      <c r="AA534" s="48"/>
      <c r="AB534" s="48"/>
      <c r="AC534" s="1731" t="s">
        <v>591</v>
      </c>
      <c r="AD534" s="1727"/>
      <c r="AE534" s="1727"/>
      <c r="AF534" s="1727"/>
      <c r="AG534" s="13" t="s">
        <v>403</v>
      </c>
      <c r="AH534" s="1376"/>
      <c r="AI534" s="1376"/>
      <c r="AJ534" s="1376"/>
      <c r="AK534" s="1377"/>
      <c r="AZ534" s="3"/>
      <c r="BA534" s="3"/>
      <c r="BB534" s="3"/>
      <c r="BC534" s="3"/>
      <c r="BD534" s="3"/>
      <c r="BE534" s="3"/>
      <c r="BF534" s="3"/>
      <c r="BG534" s="3"/>
      <c r="BH534" s="3"/>
      <c r="BI534" s="3"/>
      <c r="BJ534" s="3"/>
      <c r="BK534" s="3"/>
      <c r="BL534" s="3"/>
      <c r="BM534" s="3"/>
      <c r="BN534" s="3" t="s">
        <v>2125</v>
      </c>
    </row>
    <row r="535" spans="1:66" ht="12.95" customHeight="1">
      <c r="B535" s="1693"/>
      <c r="C535" s="1437"/>
      <c r="D535" s="1437"/>
      <c r="E535" s="1437"/>
      <c r="F535" s="1437"/>
      <c r="G535" s="1437"/>
      <c r="H535" s="1438"/>
      <c r="I535" s="42" t="s">
        <v>423</v>
      </c>
      <c r="J535" s="42"/>
      <c r="K535" s="42"/>
      <c r="L535" s="42"/>
      <c r="M535" s="42"/>
      <c r="N535" s="42"/>
      <c r="O535" s="1736" t="s">
        <v>334</v>
      </c>
      <c r="P535" s="1737"/>
      <c r="Q535" s="1737"/>
      <c r="R535" s="1737"/>
      <c r="S535" s="1737"/>
      <c r="T535" s="1737"/>
      <c r="U535" s="1737"/>
      <c r="V535" s="1737"/>
      <c r="W535" s="1737"/>
      <c r="X535" s="1737"/>
      <c r="Y535" s="1737"/>
      <c r="Z535" s="1737"/>
      <c r="AA535" s="1737"/>
      <c r="AC535" s="1731" t="s">
        <v>591</v>
      </c>
      <c r="AD535" s="1727"/>
      <c r="AE535" s="1727"/>
      <c r="AF535" s="1727"/>
      <c r="AG535" s="38" t="s">
        <v>403</v>
      </c>
      <c r="AH535" s="1376"/>
      <c r="AI535" s="1376"/>
      <c r="AJ535" s="1376"/>
      <c r="AK535" s="1377"/>
      <c r="AZ535" s="3"/>
      <c r="BA535" s="3"/>
      <c r="BB535" s="3"/>
      <c r="BC535" s="3"/>
      <c r="BD535" s="3"/>
      <c r="BE535" s="3"/>
      <c r="BF535" s="3"/>
      <c r="BG535" s="3"/>
      <c r="BH535" s="3"/>
      <c r="BI535" s="3"/>
      <c r="BJ535" s="3"/>
      <c r="BK535" s="3"/>
      <c r="BL535" s="3"/>
      <c r="BM535" s="3"/>
      <c r="BN535" s="3" t="s">
        <v>2126</v>
      </c>
    </row>
    <row r="536" spans="1:66" ht="12.95" customHeight="1">
      <c r="B536" s="1693"/>
      <c r="C536" s="1437"/>
      <c r="D536" s="1437"/>
      <c r="E536" s="1437"/>
      <c r="F536" s="1437"/>
      <c r="G536" s="1437"/>
      <c r="H536" s="1438"/>
      <c r="I536" t="s">
        <v>421</v>
      </c>
      <c r="AC536" s="1731" t="s">
        <v>591</v>
      </c>
      <c r="AD536" s="1727"/>
      <c r="AE536" s="1727"/>
      <c r="AF536" s="1727"/>
      <c r="AG536" s="13" t="s">
        <v>403</v>
      </c>
      <c r="AH536" s="1376"/>
      <c r="AI536" s="1376"/>
      <c r="AJ536" s="1376"/>
      <c r="AK536" s="1377"/>
      <c r="AZ536" s="3"/>
      <c r="BA536" s="3"/>
      <c r="BB536" s="3"/>
      <c r="BC536" s="3"/>
      <c r="BD536" s="3"/>
      <c r="BE536" s="3"/>
      <c r="BF536" s="3"/>
      <c r="BG536" s="3"/>
      <c r="BH536" s="3"/>
      <c r="BI536" s="3"/>
      <c r="BJ536" s="3"/>
      <c r="BK536" s="3"/>
      <c r="BL536" s="3"/>
      <c r="BM536" s="3"/>
      <c r="BN536" s="3" t="s">
        <v>2127</v>
      </c>
    </row>
    <row r="537" spans="1:66" ht="12.95" customHeight="1">
      <c r="B537" s="1693"/>
      <c r="C537" s="1437"/>
      <c r="D537" s="1437"/>
      <c r="E537" s="1437"/>
      <c r="F537" s="1437"/>
      <c r="G537" s="1437"/>
      <c r="H537" s="1438"/>
      <c r="I537" s="48" t="s">
        <v>422</v>
      </c>
      <c r="J537" s="48"/>
      <c r="K537" s="48"/>
      <c r="L537" s="48"/>
      <c r="M537" s="48"/>
      <c r="N537" s="48"/>
      <c r="O537" s="48"/>
      <c r="P537" s="48"/>
      <c r="Q537" s="48"/>
      <c r="R537" s="48"/>
      <c r="S537" s="48"/>
      <c r="T537" s="48"/>
      <c r="U537" s="48"/>
      <c r="V537" s="48"/>
      <c r="W537" s="48"/>
      <c r="X537" s="48"/>
      <c r="Y537" s="48"/>
      <c r="Z537" s="48"/>
      <c r="AA537" s="48"/>
      <c r="AB537" s="48"/>
      <c r="AC537" s="1731" t="s">
        <v>591</v>
      </c>
      <c r="AD537" s="1727"/>
      <c r="AE537" s="1727"/>
      <c r="AF537" s="1727"/>
      <c r="AG537" s="38" t="s">
        <v>403</v>
      </c>
      <c r="AH537" s="1376"/>
      <c r="AI537" s="1376"/>
      <c r="AJ537" s="1376"/>
      <c r="AK537" s="1377"/>
      <c r="AZ537" s="3"/>
      <c r="BA537" s="3"/>
      <c r="BB537" s="3"/>
      <c r="BC537" s="3"/>
      <c r="BD537" s="3"/>
      <c r="BE537" s="3"/>
      <c r="BF537" s="3"/>
      <c r="BG537" s="3"/>
      <c r="BH537" s="3"/>
      <c r="BI537" s="3"/>
      <c r="BJ537" s="3"/>
      <c r="BK537" s="3"/>
      <c r="BL537" s="3"/>
      <c r="BM537" s="3"/>
      <c r="BN537" s="3" t="s">
        <v>2128</v>
      </c>
    </row>
    <row r="538" spans="1:66" ht="12.95" customHeight="1">
      <c r="B538" s="1693"/>
      <c r="C538" s="1437"/>
      <c r="D538" s="1437"/>
      <c r="E538" s="1437"/>
      <c r="F538" s="1437"/>
      <c r="G538" s="1437"/>
      <c r="H538" s="1438"/>
      <c r="I538" s="42" t="s">
        <v>562</v>
      </c>
      <c r="J538" s="42"/>
      <c r="K538" s="42"/>
      <c r="L538" s="42"/>
      <c r="M538" s="42"/>
      <c r="N538" s="42"/>
      <c r="O538" s="42"/>
      <c r="P538" s="42"/>
      <c r="Q538" s="42"/>
      <c r="R538" s="42"/>
      <c r="S538" s="42"/>
      <c r="T538" s="42"/>
      <c r="U538" s="42"/>
      <c r="V538" s="42"/>
      <c r="W538" s="42"/>
      <c r="AC538" s="1731">
        <v>8</v>
      </c>
      <c r="AD538" s="1727"/>
      <c r="AE538" s="1727"/>
      <c r="AF538" s="1727"/>
      <c r="AG538" s="38" t="s">
        <v>403</v>
      </c>
      <c r="AH538" s="1376">
        <v>2026</v>
      </c>
      <c r="AI538" s="1376"/>
      <c r="AJ538" s="1376"/>
      <c r="AK538" s="1377"/>
      <c r="AZ538" s="3"/>
      <c r="BA538" s="3"/>
      <c r="BB538" s="3"/>
      <c r="BC538" s="3"/>
      <c r="BD538" s="3"/>
      <c r="BE538" s="3"/>
      <c r="BF538" s="3"/>
      <c r="BG538" s="3"/>
      <c r="BH538" s="3"/>
      <c r="BI538" s="3"/>
      <c r="BJ538" s="3"/>
      <c r="BK538" s="3"/>
      <c r="BL538" s="3"/>
      <c r="BM538" s="3"/>
      <c r="BN538" s="3"/>
    </row>
    <row r="539" spans="1:66" ht="12.95" customHeight="1">
      <c r="B539" s="1693"/>
      <c r="C539" s="1437"/>
      <c r="D539" s="1437"/>
      <c r="E539" s="1437"/>
      <c r="F539" s="1437"/>
      <c r="G539" s="1437"/>
      <c r="H539" s="1438"/>
      <c r="I539" t="s">
        <v>563</v>
      </c>
      <c r="AC539" s="1731">
        <v>1</v>
      </c>
      <c r="AD539" s="1727"/>
      <c r="AE539" s="1727"/>
      <c r="AF539" s="1727"/>
      <c r="AG539" s="13" t="s">
        <v>403</v>
      </c>
      <c r="AH539" s="1376">
        <v>2026</v>
      </c>
      <c r="AI539" s="1376"/>
      <c r="AJ539" s="1376"/>
      <c r="AK539" s="1377"/>
      <c r="AZ539" s="3"/>
      <c r="BA539" s="3"/>
      <c r="BB539" s="3"/>
      <c r="BC539" s="3"/>
      <c r="BD539" s="3"/>
      <c r="BE539" s="3"/>
      <c r="BF539" s="3"/>
      <c r="BG539" s="3"/>
      <c r="BH539" s="3"/>
      <c r="BI539" s="3"/>
      <c r="BJ539" s="3"/>
      <c r="BK539" s="3"/>
      <c r="BL539" s="3"/>
      <c r="BM539" s="3"/>
      <c r="BN539" s="3"/>
    </row>
    <row r="540" spans="1:66" ht="12.95" customHeight="1">
      <c r="B540" s="1693"/>
      <c r="C540" s="1437"/>
      <c r="D540" s="1437"/>
      <c r="E540" s="1437"/>
      <c r="F540" s="1437"/>
      <c r="G540" s="1437"/>
      <c r="H540" s="1438"/>
      <c r="I540" t="s">
        <v>564</v>
      </c>
      <c r="AC540" s="1731">
        <v>1</v>
      </c>
      <c r="AD540" s="1727"/>
      <c r="AE540" s="1727"/>
      <c r="AF540" s="1727"/>
      <c r="AG540" s="38" t="s">
        <v>403</v>
      </c>
      <c r="AH540" s="1376">
        <v>2028</v>
      </c>
      <c r="AI540" s="1376"/>
      <c r="AJ540" s="1376"/>
      <c r="AK540" s="1377"/>
      <c r="AZ540" s="3"/>
      <c r="BA540" s="3"/>
      <c r="BB540" s="3"/>
      <c r="BC540" s="3"/>
      <c r="BD540" s="3"/>
      <c r="BE540" s="3"/>
      <c r="BF540" s="3"/>
      <c r="BG540" s="3"/>
      <c r="BH540" s="3"/>
      <c r="BI540" s="3"/>
      <c r="BJ540" s="3"/>
      <c r="BK540" s="3"/>
      <c r="BL540" s="3"/>
      <c r="BM540" s="3"/>
      <c r="BN540" s="3"/>
    </row>
    <row r="541" spans="1:66" ht="12.95" customHeight="1">
      <c r="B541" s="1693"/>
      <c r="C541" s="1437"/>
      <c r="D541" s="1437"/>
      <c r="E541" s="1437"/>
      <c r="F541" s="1437"/>
      <c r="G541" s="1437"/>
      <c r="H541" s="1438"/>
      <c r="I541" t="s">
        <v>565</v>
      </c>
      <c r="AC541" s="1731">
        <v>5</v>
      </c>
      <c r="AD541" s="1727"/>
      <c r="AE541" s="1727"/>
      <c r="AF541" s="1727"/>
      <c r="AG541" s="38" t="s">
        <v>403</v>
      </c>
      <c r="AH541" s="1376">
        <v>2028</v>
      </c>
      <c r="AI541" s="1376"/>
      <c r="AJ541" s="1376"/>
      <c r="AK541" s="1377"/>
      <c r="AZ541" s="3"/>
      <c r="BA541" s="3"/>
      <c r="BB541" s="3"/>
      <c r="BC541" s="3"/>
      <c r="BD541" s="3"/>
      <c r="BE541" s="3"/>
      <c r="BF541" s="3"/>
      <c r="BG541" s="3"/>
      <c r="BH541" s="3"/>
      <c r="BI541" s="3"/>
      <c r="BJ541" s="3"/>
      <c r="BK541" s="3"/>
      <c r="BL541" s="3"/>
      <c r="BM541" s="3"/>
      <c r="BN541" s="3"/>
    </row>
    <row r="542" spans="1:66" ht="12.95" customHeight="1">
      <c r="B542" s="1694"/>
      <c r="C542" s="1439"/>
      <c r="D542" s="1439"/>
      <c r="E542" s="1439"/>
      <c r="F542" s="1439"/>
      <c r="G542" s="1439"/>
      <c r="H542" s="1440"/>
      <c r="I542" s="48" t="s">
        <v>451</v>
      </c>
      <c r="J542" s="48"/>
      <c r="K542" s="48"/>
      <c r="L542" s="48"/>
      <c r="M542" s="48"/>
      <c r="N542" s="48"/>
      <c r="O542" s="48"/>
      <c r="P542" s="48"/>
      <c r="Q542" s="48"/>
      <c r="R542" s="48"/>
      <c r="S542" s="48"/>
      <c r="T542" s="48"/>
      <c r="U542" s="48"/>
      <c r="V542" s="48"/>
      <c r="W542" s="48"/>
      <c r="X542" s="48"/>
      <c r="Y542" s="48"/>
      <c r="Z542" s="48"/>
      <c r="AA542" s="48"/>
      <c r="AB542" s="48"/>
      <c r="AC542" s="1731">
        <v>1</v>
      </c>
      <c r="AD542" s="1727"/>
      <c r="AE542" s="1727"/>
      <c r="AF542" s="1727"/>
      <c r="AG542" s="38" t="s">
        <v>403</v>
      </c>
      <c r="AH542" s="1376">
        <v>2029</v>
      </c>
      <c r="AI542" s="1376"/>
      <c r="AJ542" s="1376"/>
      <c r="AK542" s="1377"/>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59" t="s">
        <v>543</v>
      </c>
      <c r="B544" s="1259"/>
      <c r="C544" s="1259"/>
      <c r="D544" s="1259"/>
      <c r="E544" s="1259"/>
      <c r="F544" s="1259"/>
      <c r="G544" s="1259"/>
      <c r="H544" s="1259"/>
      <c r="I544" s="1259"/>
      <c r="J544" s="1259"/>
      <c r="K544" s="1259"/>
      <c r="L544" s="1259"/>
      <c r="M544" s="1259"/>
      <c r="N544" s="1259"/>
      <c r="O544" s="1259"/>
      <c r="P544" s="1259"/>
      <c r="Q544" s="1259"/>
      <c r="R544" s="1259"/>
      <c r="S544" s="1259"/>
      <c r="T544" s="1259"/>
      <c r="U544" s="1259"/>
      <c r="V544" s="1259"/>
      <c r="W544" s="1259"/>
      <c r="X544" s="1259"/>
      <c r="Y544" s="1259"/>
      <c r="Z544" s="1259"/>
      <c r="AA544" s="1259"/>
      <c r="AB544" s="1259"/>
      <c r="AC544" s="1259"/>
      <c r="AD544" s="1259"/>
      <c r="AE544" s="1259"/>
      <c r="AF544" s="1259"/>
      <c r="AG544" s="1259"/>
      <c r="AH544" s="1259"/>
      <c r="AI544" s="1259"/>
      <c r="AJ544" s="1259"/>
      <c r="AK544" s="1259"/>
      <c r="AL544" s="1259"/>
      <c r="AM544" s="1259"/>
      <c r="AN544" s="1259"/>
      <c r="AO544" s="1259"/>
      <c r="AP544" s="1259"/>
      <c r="AQ544" s="1259"/>
      <c r="AR544" s="1259"/>
      <c r="AS544" s="1259"/>
      <c r="AT544" s="1259"/>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59"/>
      <c r="B545" s="1259"/>
      <c r="C545" s="1259"/>
      <c r="D545" s="1259"/>
      <c r="E545" s="1259"/>
      <c r="F545" s="1259"/>
      <c r="G545" s="1259"/>
      <c r="H545" s="1259"/>
      <c r="I545" s="1259"/>
      <c r="J545" s="1259"/>
      <c r="K545" s="1259"/>
      <c r="L545" s="1259"/>
      <c r="M545" s="1259"/>
      <c r="N545" s="1259"/>
      <c r="O545" s="1259"/>
      <c r="P545" s="1259"/>
      <c r="Q545" s="1259"/>
      <c r="R545" s="1259"/>
      <c r="S545" s="1259"/>
      <c r="T545" s="1259"/>
      <c r="U545" s="1259"/>
      <c r="V545" s="1259"/>
      <c r="W545" s="1259"/>
      <c r="X545" s="1259"/>
      <c r="Y545" s="1259"/>
      <c r="Z545" s="1259"/>
      <c r="AA545" s="1259"/>
      <c r="AB545" s="1259"/>
      <c r="AC545" s="1259"/>
      <c r="AD545" s="1259"/>
      <c r="AE545" s="1259"/>
      <c r="AF545" s="1259"/>
      <c r="AG545" s="1259"/>
      <c r="AH545" s="1259"/>
      <c r="AI545" s="1259"/>
      <c r="AJ545" s="1259"/>
      <c r="AK545" s="1259"/>
      <c r="AL545" s="1259"/>
      <c r="AM545" s="1259"/>
      <c r="AN545" s="1259"/>
      <c r="AO545" s="1259"/>
      <c r="AP545" s="1259"/>
      <c r="AQ545" s="1259"/>
      <c r="AR545" s="1259"/>
      <c r="AS545" s="1259"/>
      <c r="AT545" s="1259"/>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2100</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No</v>
      </c>
    </row>
    <row r="551" spans="1:61" ht="12.95" customHeight="1">
      <c r="B551" s="1692" t="s">
        <v>2102</v>
      </c>
      <c r="C551" s="1435"/>
      <c r="D551" s="1435"/>
      <c r="E551" s="1435"/>
      <c r="F551" s="1435"/>
      <c r="G551" s="1435"/>
      <c r="H551" s="1435"/>
      <c r="I551" s="1435"/>
      <c r="J551" s="1435"/>
      <c r="K551" s="1435"/>
      <c r="L551" s="1436"/>
      <c r="M551" s="1692" t="s">
        <v>2103</v>
      </c>
      <c r="N551" s="1435"/>
      <c r="O551" s="1435"/>
      <c r="P551" s="1436"/>
      <c r="Q551" s="1692" t="s">
        <v>2129</v>
      </c>
      <c r="R551" s="1435"/>
      <c r="S551" s="1436"/>
      <c r="T551" s="1692" t="s">
        <v>2130</v>
      </c>
      <c r="U551" s="1435"/>
      <c r="V551" s="1436"/>
      <c r="W551" s="1692" t="s">
        <v>453</v>
      </c>
      <c r="X551" s="1435"/>
      <c r="Y551" s="1436"/>
      <c r="Z551" s="1692" t="s">
        <v>1851</v>
      </c>
      <c r="AA551" s="1435"/>
      <c r="AB551" s="1435"/>
      <c r="AC551" s="1435"/>
      <c r="AD551" s="1436"/>
      <c r="AE551" s="1692" t="s">
        <v>1675</v>
      </c>
      <c r="AF551" s="1435"/>
      <c r="AG551" s="1435"/>
      <c r="AH551" s="1436"/>
      <c r="AI551" s="1692" t="s">
        <v>1676</v>
      </c>
      <c r="AJ551" s="1435"/>
      <c r="AK551" s="1435"/>
      <c r="AL551" s="1436"/>
      <c r="AM551" s="1692" t="s">
        <v>454</v>
      </c>
      <c r="AN551" s="1435"/>
      <c r="AO551" s="1435"/>
      <c r="AP551" s="1435"/>
      <c r="AQ551" s="1435"/>
      <c r="AR551" s="1435"/>
      <c r="AS551" s="1436"/>
      <c r="BB551" s="3"/>
      <c r="BC551" s="3"/>
      <c r="BD551" s="3"/>
      <c r="BE551" s="3"/>
      <c r="BF551" s="3"/>
      <c r="BG551" s="3"/>
      <c r="BH551" s="3" t="s">
        <v>581</v>
      </c>
      <c r="BI551" s="3" t="str">
        <f>AG657</f>
        <v>No</v>
      </c>
    </row>
    <row r="552" spans="1:61" ht="12.95" customHeight="1">
      <c r="B552" s="1693"/>
      <c r="C552" s="1437"/>
      <c r="D552" s="1437"/>
      <c r="E552" s="1437"/>
      <c r="F552" s="1437"/>
      <c r="G552" s="1437"/>
      <c r="H552" s="1437"/>
      <c r="I552" s="1437"/>
      <c r="J552" s="1437"/>
      <c r="K552" s="1437"/>
      <c r="L552" s="1438"/>
      <c r="M552" s="1693"/>
      <c r="N552" s="1437"/>
      <c r="O552" s="1437"/>
      <c r="P552" s="1438"/>
      <c r="Q552" s="1693"/>
      <c r="R552" s="1437"/>
      <c r="S552" s="1438"/>
      <c r="T552" s="1693"/>
      <c r="U552" s="1437"/>
      <c r="V552" s="1438"/>
      <c r="W552" s="1693"/>
      <c r="X552" s="1437"/>
      <c r="Y552" s="1438"/>
      <c r="Z552" s="1693"/>
      <c r="AA552" s="1437"/>
      <c r="AB552" s="1437"/>
      <c r="AC552" s="1437"/>
      <c r="AD552" s="1438"/>
      <c r="AE552" s="1693"/>
      <c r="AF552" s="1437"/>
      <c r="AG552" s="1437"/>
      <c r="AH552" s="1438"/>
      <c r="AI552" s="1693"/>
      <c r="AJ552" s="1437"/>
      <c r="AK552" s="1437"/>
      <c r="AL552" s="1438"/>
      <c r="AM552" s="1693"/>
      <c r="AN552" s="1437"/>
      <c r="AO552" s="1437"/>
      <c r="AP552" s="1437"/>
      <c r="AQ552" s="1437"/>
      <c r="AR552" s="1437"/>
      <c r="AS552" s="1438"/>
      <c r="AU552" s="1146"/>
      <c r="BB552" s="3"/>
      <c r="BC552" s="3"/>
      <c r="BD552" s="3"/>
      <c r="BE552" s="3"/>
      <c r="BF552" s="3"/>
      <c r="BG552" s="3"/>
      <c r="BH552" s="3"/>
      <c r="BI552" s="3"/>
    </row>
    <row r="553" spans="1:61" ht="12.95" customHeight="1">
      <c r="B553" s="1694"/>
      <c r="C553" s="1439"/>
      <c r="D553" s="1439"/>
      <c r="E553" s="1439"/>
      <c r="F553" s="1439"/>
      <c r="G553" s="1439"/>
      <c r="H553" s="1439"/>
      <c r="I553" s="1439"/>
      <c r="J553" s="1439"/>
      <c r="K553" s="1439"/>
      <c r="L553" s="1440"/>
      <c r="M553" s="1694"/>
      <c r="N553" s="1439"/>
      <c r="O553" s="1439"/>
      <c r="P553" s="1440"/>
      <c r="Q553" s="1694"/>
      <c r="R553" s="1439"/>
      <c r="S553" s="1440"/>
      <c r="T553" s="1694"/>
      <c r="U553" s="1439"/>
      <c r="V553" s="1440"/>
      <c r="W553" s="1694"/>
      <c r="X553" s="1439"/>
      <c r="Y553" s="1440"/>
      <c r="Z553" s="1694"/>
      <c r="AA553" s="1439"/>
      <c r="AB553" s="1439"/>
      <c r="AC553" s="1439"/>
      <c r="AD553" s="1440"/>
      <c r="AE553" s="1694"/>
      <c r="AF553" s="1439"/>
      <c r="AG553" s="1439"/>
      <c r="AH553" s="1440"/>
      <c r="AI553" s="1694"/>
      <c r="AJ553" s="1439"/>
      <c r="AK553" s="1439"/>
      <c r="AL553" s="1440"/>
      <c r="AM553" s="1694"/>
      <c r="AN553" s="1439"/>
      <c r="AO553" s="1439"/>
      <c r="AP553" s="1439"/>
      <c r="AQ553" s="1439"/>
      <c r="AR553" s="1439"/>
      <c r="AS553" s="1440"/>
      <c r="AU553" s="1146"/>
      <c r="BB553" s="3"/>
      <c r="BC553" s="3"/>
      <c r="BD553" s="3"/>
      <c r="BE553" s="3"/>
      <c r="BF553" s="3"/>
      <c r="BG553" s="3"/>
      <c r="BH553" s="3"/>
      <c r="BI553" s="3"/>
    </row>
    <row r="554" spans="1:61" ht="12.95" customHeight="1">
      <c r="B554" s="51" t="s">
        <v>112</v>
      </c>
      <c r="C554" s="1674" t="s">
        <v>2696</v>
      </c>
      <c r="D554" s="1674"/>
      <c r="E554" s="1674"/>
      <c r="F554" s="1674"/>
      <c r="G554" s="1674"/>
      <c r="H554" s="1674"/>
      <c r="I554" s="1674"/>
      <c r="J554" s="1674"/>
      <c r="K554" s="1674"/>
      <c r="L554" s="1674"/>
      <c r="M554" s="1674" t="s">
        <v>2119</v>
      </c>
      <c r="N554" s="1674"/>
      <c r="O554" s="1674"/>
      <c r="P554" s="1674"/>
      <c r="Q554" s="1659">
        <v>40</v>
      </c>
      <c r="R554" s="1659"/>
      <c r="S554" s="1660"/>
      <c r="T554" s="1658"/>
      <c r="U554" s="1659"/>
      <c r="V554" s="1660"/>
      <c r="W554" s="1661">
        <v>0.05</v>
      </c>
      <c r="X554" s="1662"/>
      <c r="Y554" s="1663"/>
      <c r="Z554" s="1675" t="s">
        <v>2720</v>
      </c>
      <c r="AA554" s="1675"/>
      <c r="AB554" s="1675"/>
      <c r="AC554" s="1675"/>
      <c r="AD554" s="1675"/>
      <c r="AE554" s="1653">
        <v>1</v>
      </c>
      <c r="AF554" s="1654"/>
      <c r="AG554" s="1654"/>
      <c r="AH554" s="1655"/>
      <c r="AI554" s="1676"/>
      <c r="AJ554" s="1677"/>
      <c r="AK554" s="1677"/>
      <c r="AL554" s="1678"/>
      <c r="AM554" s="1407">
        <v>57500000</v>
      </c>
      <c r="AN554" s="1408"/>
      <c r="AO554" s="1408"/>
      <c r="AP554" s="1408"/>
      <c r="AQ554" s="1408"/>
      <c r="AR554" s="1408"/>
      <c r="AS554" s="1409"/>
      <c r="AT554" s="1147"/>
      <c r="AU554" s="1146"/>
      <c r="BB554" s="3"/>
      <c r="BC554" s="3"/>
      <c r="BD554" s="3"/>
      <c r="BE554" s="3"/>
      <c r="BF554" s="3"/>
      <c r="BG554" s="3"/>
      <c r="BH554" s="3"/>
      <c r="BI554" s="3"/>
    </row>
    <row r="555" spans="1:61" ht="12.95" customHeight="1">
      <c r="B555" s="52" t="s">
        <v>113</v>
      </c>
      <c r="C555" s="1657" t="s">
        <v>2751</v>
      </c>
      <c r="D555" s="1657"/>
      <c r="E555" s="1657"/>
      <c r="F555" s="1657"/>
      <c r="G555" s="1657"/>
      <c r="H555" s="1657"/>
      <c r="I555" s="1657"/>
      <c r="J555" s="1657"/>
      <c r="K555" s="1657"/>
      <c r="L555" s="1657"/>
      <c r="M555" s="1674" t="s">
        <v>2120</v>
      </c>
      <c r="N555" s="1674"/>
      <c r="O555" s="1674"/>
      <c r="P555" s="1674"/>
      <c r="Q555" s="1658">
        <v>40</v>
      </c>
      <c r="R555" s="1659"/>
      <c r="S555" s="1660"/>
      <c r="T555" s="1658"/>
      <c r="U555" s="1659"/>
      <c r="V555" s="1660"/>
      <c r="W555" s="1661">
        <v>0.05</v>
      </c>
      <c r="X555" s="1662"/>
      <c r="Y555" s="1663"/>
      <c r="Z555" s="1675" t="s">
        <v>2720</v>
      </c>
      <c r="AA555" s="1675"/>
      <c r="AB555" s="1675"/>
      <c r="AC555" s="1675"/>
      <c r="AD555" s="1675"/>
      <c r="AE555" s="1653">
        <v>1</v>
      </c>
      <c r="AF555" s="1654"/>
      <c r="AG555" s="1654"/>
      <c r="AH555" s="1655"/>
      <c r="AI555" s="1676"/>
      <c r="AJ555" s="1677"/>
      <c r="AK555" s="1677"/>
      <c r="AL555" s="1678"/>
      <c r="AM555" s="1407">
        <v>11000000</v>
      </c>
      <c r="AN555" s="1408"/>
      <c r="AO555" s="1408"/>
      <c r="AP555" s="1408"/>
      <c r="AQ555" s="1408"/>
      <c r="AR555" s="1408"/>
      <c r="AS555" s="1409"/>
      <c r="AT555" s="1147" t="str">
        <f>IF(AND(NOT(C554=""),C555="",NOT(C556="")),"!","")</f>
        <v/>
      </c>
      <c r="AU555" s="1146"/>
      <c r="BB555" s="3"/>
      <c r="BC555" s="3"/>
      <c r="BD555" s="3"/>
      <c r="BE555" s="3"/>
      <c r="BF555" s="3"/>
      <c r="BG555" s="3"/>
      <c r="BH555" s="3"/>
      <c r="BI555" s="3"/>
    </row>
    <row r="556" spans="1:61" ht="12.95" customHeight="1">
      <c r="B556" s="52" t="s">
        <v>119</v>
      </c>
      <c r="C556" s="1657" t="s">
        <v>2697</v>
      </c>
      <c r="D556" s="1657"/>
      <c r="E556" s="1657"/>
      <c r="F556" s="1657"/>
      <c r="G556" s="1657"/>
      <c r="H556" s="1657"/>
      <c r="I556" s="1657"/>
      <c r="J556" s="1657"/>
      <c r="K556" s="1657"/>
      <c r="L556" s="1657"/>
      <c r="M556" s="1674" t="s">
        <v>2118</v>
      </c>
      <c r="N556" s="1674"/>
      <c r="O556" s="1674"/>
      <c r="P556" s="1674"/>
      <c r="Q556" s="1658">
        <v>40</v>
      </c>
      <c r="R556" s="1659"/>
      <c r="S556" s="1660"/>
      <c r="T556" s="1658"/>
      <c r="U556" s="1659"/>
      <c r="V556" s="1660"/>
      <c r="W556" s="1661">
        <v>5.5E-2</v>
      </c>
      <c r="X556" s="1662"/>
      <c r="Y556" s="1663"/>
      <c r="Z556" s="1675" t="s">
        <v>2720</v>
      </c>
      <c r="AA556" s="1675"/>
      <c r="AB556" s="1675"/>
      <c r="AC556" s="1675"/>
      <c r="AD556" s="1675"/>
      <c r="AE556" s="1653">
        <v>1</v>
      </c>
      <c r="AF556" s="1654"/>
      <c r="AG556" s="1654"/>
      <c r="AH556" s="1655"/>
      <c r="AI556" s="1676"/>
      <c r="AJ556" s="1677"/>
      <c r="AK556" s="1677"/>
      <c r="AL556" s="1678"/>
      <c r="AM556" s="1407">
        <v>34880000</v>
      </c>
      <c r="AN556" s="1408"/>
      <c r="AO556" s="1408"/>
      <c r="AP556" s="1408"/>
      <c r="AQ556" s="1408"/>
      <c r="AR556" s="1408"/>
      <c r="AS556" s="1409"/>
      <c r="AT556" s="1147" t="str">
        <f>IF(AND(NOT(C555=""),C556="",NOT(C557="")),"!","")</f>
        <v/>
      </c>
      <c r="AU556" s="1146"/>
      <c r="BB556" s="3"/>
      <c r="BC556" s="3"/>
      <c r="BD556" s="3"/>
      <c r="BE556" s="3"/>
      <c r="BF556" s="3"/>
      <c r="BG556" s="3"/>
      <c r="BH556" s="3"/>
      <c r="BI556" s="3"/>
    </row>
    <row r="557" spans="1:61" ht="12.95" customHeight="1">
      <c r="B557" s="52" t="s">
        <v>581</v>
      </c>
      <c r="C557" s="1657" t="s">
        <v>2698</v>
      </c>
      <c r="D557" s="1657"/>
      <c r="E557" s="1657"/>
      <c r="F557" s="1657"/>
      <c r="G557" s="1657"/>
      <c r="H557" s="1657"/>
      <c r="I557" s="1657"/>
      <c r="J557" s="1657"/>
      <c r="K557" s="1657"/>
      <c r="L557" s="1657"/>
      <c r="M557" s="1674" t="s">
        <v>2110</v>
      </c>
      <c r="N557" s="1674"/>
      <c r="O557" s="1674"/>
      <c r="P557" s="1674"/>
      <c r="Q557" s="1658"/>
      <c r="R557" s="1659"/>
      <c r="S557" s="1660"/>
      <c r="T557" s="1658"/>
      <c r="U557" s="1659"/>
      <c r="V557" s="1660"/>
      <c r="W557" s="1661"/>
      <c r="X557" s="1662"/>
      <c r="Y557" s="1663"/>
      <c r="Z557" s="1675" t="s">
        <v>1183</v>
      </c>
      <c r="AA557" s="1675"/>
      <c r="AB557" s="1675"/>
      <c r="AC557" s="1675"/>
      <c r="AD557" s="1675"/>
      <c r="AE557" s="1653"/>
      <c r="AF557" s="1654"/>
      <c r="AG557" s="1654"/>
      <c r="AH557" s="1655"/>
      <c r="AI557" s="1676"/>
      <c r="AJ557" s="1677"/>
      <c r="AK557" s="1677"/>
      <c r="AL557" s="1678"/>
      <c r="AM557" s="1407">
        <v>7727540</v>
      </c>
      <c r="AN557" s="1408"/>
      <c r="AO557" s="1408"/>
      <c r="AP557" s="1408"/>
      <c r="AQ557" s="1408"/>
      <c r="AR557" s="1408"/>
      <c r="AS557" s="1409"/>
      <c r="AT557" s="1147" t="str">
        <f>IF(AND(NOT(C556=""),C557="",NOT(C558="")),"!","")</f>
        <v/>
      </c>
      <c r="AU557" s="1146"/>
      <c r="BB557" s="3"/>
      <c r="BC557" s="3"/>
      <c r="BD557" s="3"/>
      <c r="BE557" s="3"/>
      <c r="BF557" s="3"/>
      <c r="BG557" s="3"/>
      <c r="BH557" s="3"/>
      <c r="BI557" s="3"/>
    </row>
    <row r="558" spans="1:61" ht="12.95" customHeight="1">
      <c r="B558" s="52" t="s">
        <v>763</v>
      </c>
      <c r="C558" s="1657" t="s">
        <v>2699</v>
      </c>
      <c r="D558" s="1657"/>
      <c r="E558" s="1657"/>
      <c r="F558" s="1657"/>
      <c r="G558" s="1657"/>
      <c r="H558" s="1657"/>
      <c r="I558" s="1657"/>
      <c r="J558" s="1657"/>
      <c r="K558" s="1657"/>
      <c r="L558" s="1657"/>
      <c r="M558" s="1674" t="s">
        <v>2122</v>
      </c>
      <c r="N558" s="1674"/>
      <c r="O558" s="1674"/>
      <c r="P558" s="1674"/>
      <c r="Q558" s="1658"/>
      <c r="R558" s="1659"/>
      <c r="S558" s="1660"/>
      <c r="T558" s="1658"/>
      <c r="U558" s="1659"/>
      <c r="V558" s="1660"/>
      <c r="W558" s="1661"/>
      <c r="X558" s="1662"/>
      <c r="Y558" s="1663"/>
      <c r="Z558" s="1675" t="s">
        <v>1183</v>
      </c>
      <c r="AA558" s="1675"/>
      <c r="AB558" s="1675"/>
      <c r="AC558" s="1675"/>
      <c r="AD558" s="1675"/>
      <c r="AE558" s="1653"/>
      <c r="AF558" s="1654"/>
      <c r="AG558" s="1654"/>
      <c r="AH558" s="1655"/>
      <c r="AI558" s="1676"/>
      <c r="AJ558" s="1677"/>
      <c r="AK558" s="1677"/>
      <c r="AL558" s="1678"/>
      <c r="AM558" s="1407">
        <v>1877479</v>
      </c>
      <c r="AN558" s="1408"/>
      <c r="AO558" s="1408"/>
      <c r="AP558" s="1408"/>
      <c r="AQ558" s="1408"/>
      <c r="AR558" s="1408"/>
      <c r="AS558" s="1409"/>
      <c r="AT558" s="1147" t="str">
        <f t="shared" ref="AT558:AT565" si="0">IF(AND(NOT(C557=""),C558="",NOT(C559="")),"!","")</f>
        <v/>
      </c>
      <c r="AU558" s="1146"/>
      <c r="BB558" s="3"/>
      <c r="BC558" s="3"/>
      <c r="BD558" s="3"/>
      <c r="BE558" s="3"/>
      <c r="BF558" s="3"/>
      <c r="BG558" s="3"/>
      <c r="BH558" s="3" t="s">
        <v>763</v>
      </c>
      <c r="BI558" s="3" t="str">
        <f>N665</f>
        <v>No</v>
      </c>
    </row>
    <row r="559" spans="1:61" ht="12.95" customHeight="1">
      <c r="B559" s="52" t="s">
        <v>584</v>
      </c>
      <c r="C559" s="1657" t="s">
        <v>2321</v>
      </c>
      <c r="D559" s="1657"/>
      <c r="E559" s="1657"/>
      <c r="F559" s="1657"/>
      <c r="G559" s="1657"/>
      <c r="H559" s="1657"/>
      <c r="I559" s="1657"/>
      <c r="J559" s="1657"/>
      <c r="K559" s="1657"/>
      <c r="L559" s="1657"/>
      <c r="M559" s="1674" t="s">
        <v>2106</v>
      </c>
      <c r="N559" s="1674"/>
      <c r="O559" s="1674"/>
      <c r="P559" s="1674"/>
      <c r="Q559" s="1658"/>
      <c r="R559" s="1659"/>
      <c r="S559" s="1660"/>
      <c r="T559" s="1658"/>
      <c r="U559" s="1659"/>
      <c r="V559" s="1660"/>
      <c r="W559" s="1661"/>
      <c r="X559" s="1662"/>
      <c r="Y559" s="1663"/>
      <c r="Z559" s="1675" t="s">
        <v>1183</v>
      </c>
      <c r="AA559" s="1675"/>
      <c r="AB559" s="1675"/>
      <c r="AC559" s="1675"/>
      <c r="AD559" s="1675"/>
      <c r="AE559" s="1653"/>
      <c r="AF559" s="1654"/>
      <c r="AG559" s="1654"/>
      <c r="AH559" s="1655"/>
      <c r="AI559" s="1676"/>
      <c r="AJ559" s="1677"/>
      <c r="AK559" s="1677"/>
      <c r="AL559" s="1678"/>
      <c r="AM559" s="1407">
        <v>11754652</v>
      </c>
      <c r="AN559" s="1408"/>
      <c r="AO559" s="1408"/>
      <c r="AP559" s="1408"/>
      <c r="AQ559" s="1408"/>
      <c r="AR559" s="1408"/>
      <c r="AS559" s="1409"/>
      <c r="AT559" s="1147" t="str">
        <f t="shared" si="0"/>
        <v/>
      </c>
      <c r="AU559" s="1146"/>
      <c r="BB559" s="3"/>
      <c r="BC559" s="3"/>
      <c r="BD559" s="3"/>
      <c r="BE559" s="3"/>
      <c r="BF559" s="3"/>
      <c r="BG559" s="3"/>
      <c r="BH559" s="3" t="s">
        <v>584</v>
      </c>
      <c r="BI559" s="3" t="str">
        <f>AG665</f>
        <v>No</v>
      </c>
    </row>
    <row r="560" spans="1:61" ht="12.95" customHeight="1">
      <c r="B560" s="52" t="s">
        <v>455</v>
      </c>
      <c r="C560" s="1657"/>
      <c r="D560" s="1657"/>
      <c r="E560" s="1657"/>
      <c r="F560" s="1657"/>
      <c r="G560" s="1657"/>
      <c r="H560" s="1657"/>
      <c r="I560" s="1657"/>
      <c r="J560" s="1657"/>
      <c r="K560" s="1657"/>
      <c r="L560" s="1657"/>
      <c r="M560" s="1674" t="s">
        <v>1183</v>
      </c>
      <c r="N560" s="1674"/>
      <c r="O560" s="1674"/>
      <c r="P560" s="1674"/>
      <c r="Q560" s="1658"/>
      <c r="R560" s="1659"/>
      <c r="S560" s="1660"/>
      <c r="T560" s="1658"/>
      <c r="U560" s="1659"/>
      <c r="V560" s="1660"/>
      <c r="W560" s="1661"/>
      <c r="X560" s="1662"/>
      <c r="Y560" s="1663"/>
      <c r="Z560" s="1675" t="s">
        <v>1183</v>
      </c>
      <c r="AA560" s="1675"/>
      <c r="AB560" s="1675"/>
      <c r="AC560" s="1675"/>
      <c r="AD560" s="1675"/>
      <c r="AE560" s="1653"/>
      <c r="AF560" s="1654"/>
      <c r="AG560" s="1654"/>
      <c r="AH560" s="1655"/>
      <c r="AI560" s="1676"/>
      <c r="AJ560" s="1677"/>
      <c r="AK560" s="1677"/>
      <c r="AL560" s="1678"/>
      <c r="AM560" s="1407"/>
      <c r="AN560" s="1408"/>
      <c r="AO560" s="1408"/>
      <c r="AP560" s="1408"/>
      <c r="AQ560" s="1408"/>
      <c r="AR560" s="1408"/>
      <c r="AS560" s="1409"/>
      <c r="AT560" s="1147" t="str">
        <f t="shared" si="0"/>
        <v/>
      </c>
      <c r="AU560" s="1146"/>
      <c r="BB560" s="3"/>
      <c r="BC560" s="3"/>
      <c r="BD560" s="3"/>
      <c r="BE560" s="3"/>
      <c r="BF560" s="3"/>
      <c r="BG560" s="3"/>
      <c r="BH560" s="3"/>
      <c r="BI560" s="3"/>
    </row>
    <row r="561" spans="1:61" ht="12.95" customHeight="1">
      <c r="B561" s="52" t="s">
        <v>456</v>
      </c>
      <c r="C561" s="1657"/>
      <c r="D561" s="1657"/>
      <c r="E561" s="1657"/>
      <c r="F561" s="1657"/>
      <c r="G561" s="1657"/>
      <c r="H561" s="1657"/>
      <c r="I561" s="1657"/>
      <c r="J561" s="1657"/>
      <c r="K561" s="1657"/>
      <c r="L561" s="1657"/>
      <c r="M561" s="1674" t="s">
        <v>1183</v>
      </c>
      <c r="N561" s="1674"/>
      <c r="O561" s="1674"/>
      <c r="P561" s="1674"/>
      <c r="Q561" s="1658"/>
      <c r="R561" s="1659"/>
      <c r="S561" s="1660"/>
      <c r="T561" s="1658"/>
      <c r="U561" s="1659"/>
      <c r="V561" s="1660"/>
      <c r="W561" s="1661"/>
      <c r="X561" s="1662"/>
      <c r="Y561" s="1663"/>
      <c r="Z561" s="1675" t="s">
        <v>1183</v>
      </c>
      <c r="AA561" s="1675"/>
      <c r="AB561" s="1675"/>
      <c r="AC561" s="1675"/>
      <c r="AD561" s="1675"/>
      <c r="AE561" s="1653"/>
      <c r="AF561" s="1654"/>
      <c r="AG561" s="1654"/>
      <c r="AH561" s="1655"/>
      <c r="AI561" s="1676"/>
      <c r="AJ561" s="1677"/>
      <c r="AK561" s="1677"/>
      <c r="AL561" s="1678"/>
      <c r="AM561" s="1407"/>
      <c r="AN561" s="1408"/>
      <c r="AO561" s="1408"/>
      <c r="AP561" s="1408"/>
      <c r="AQ561" s="1408"/>
      <c r="AR561" s="1408"/>
      <c r="AS561" s="1409"/>
      <c r="AT561" s="1147" t="str">
        <f t="shared" si="0"/>
        <v/>
      </c>
      <c r="AU561" s="1146"/>
      <c r="BB561" s="3"/>
      <c r="BC561" s="3"/>
      <c r="BD561" s="3"/>
      <c r="BE561" s="3"/>
      <c r="BF561" s="3"/>
      <c r="BG561" s="3"/>
      <c r="BH561" s="3"/>
      <c r="BI561" s="3"/>
    </row>
    <row r="562" spans="1:61" ht="12.95" customHeight="1">
      <c r="B562" s="52" t="s">
        <v>461</v>
      </c>
      <c r="C562" s="1657"/>
      <c r="D562" s="1657"/>
      <c r="E562" s="1657"/>
      <c r="F562" s="1657"/>
      <c r="G562" s="1657"/>
      <c r="H562" s="1657"/>
      <c r="I562" s="1657"/>
      <c r="J562" s="1657"/>
      <c r="K562" s="1657"/>
      <c r="L562" s="1657"/>
      <c r="M562" s="1674" t="s">
        <v>1183</v>
      </c>
      <c r="N562" s="1674"/>
      <c r="O562" s="1674"/>
      <c r="P562" s="1674"/>
      <c r="Q562" s="1658"/>
      <c r="R562" s="1659"/>
      <c r="S562" s="1660"/>
      <c r="T562" s="1658"/>
      <c r="U562" s="1659"/>
      <c r="V562" s="1660"/>
      <c r="W562" s="1661"/>
      <c r="X562" s="1662"/>
      <c r="Y562" s="1663"/>
      <c r="Z562" s="1675" t="s">
        <v>1183</v>
      </c>
      <c r="AA562" s="1675"/>
      <c r="AB562" s="1675"/>
      <c r="AC562" s="1675"/>
      <c r="AD562" s="1675"/>
      <c r="AE562" s="1653"/>
      <c r="AF562" s="1654"/>
      <c r="AG562" s="1654"/>
      <c r="AH562" s="1655"/>
      <c r="AI562" s="1676"/>
      <c r="AJ562" s="1677"/>
      <c r="AK562" s="1677"/>
      <c r="AL562" s="1678"/>
      <c r="AM562" s="1407"/>
      <c r="AN562" s="1408"/>
      <c r="AO562" s="1408"/>
      <c r="AP562" s="1408"/>
      <c r="AQ562" s="1408"/>
      <c r="AR562" s="1408"/>
      <c r="AS562" s="1409"/>
      <c r="AT562" s="1147" t="str">
        <f t="shared" si="0"/>
        <v/>
      </c>
      <c r="AU562" s="1146"/>
      <c r="BB562" s="3"/>
      <c r="BC562" s="3"/>
      <c r="BD562" s="3"/>
      <c r="BE562" s="3"/>
      <c r="BF562" s="3"/>
      <c r="BG562" s="3"/>
      <c r="BH562" s="3"/>
      <c r="BI562" s="3"/>
    </row>
    <row r="563" spans="1:61" ht="12.95" customHeight="1">
      <c r="B563" s="52" t="s">
        <v>646</v>
      </c>
      <c r="C563" s="1657"/>
      <c r="D563" s="1657"/>
      <c r="E563" s="1657"/>
      <c r="F563" s="1657"/>
      <c r="G563" s="1657"/>
      <c r="H563" s="1657"/>
      <c r="I563" s="1657"/>
      <c r="J563" s="1657"/>
      <c r="K563" s="1657"/>
      <c r="L563" s="1657"/>
      <c r="M563" s="1674" t="s">
        <v>1183</v>
      </c>
      <c r="N563" s="1674"/>
      <c r="O563" s="1674"/>
      <c r="P563" s="1674"/>
      <c r="Q563" s="1658"/>
      <c r="R563" s="1659"/>
      <c r="S563" s="1660"/>
      <c r="T563" s="1658"/>
      <c r="U563" s="1659"/>
      <c r="V563" s="1660"/>
      <c r="W563" s="1661"/>
      <c r="X563" s="1662"/>
      <c r="Y563" s="1663"/>
      <c r="Z563" s="1675" t="s">
        <v>1183</v>
      </c>
      <c r="AA563" s="1675"/>
      <c r="AB563" s="1675"/>
      <c r="AC563" s="1675"/>
      <c r="AD563" s="1675"/>
      <c r="AE563" s="1653"/>
      <c r="AF563" s="1654"/>
      <c r="AG563" s="1654"/>
      <c r="AH563" s="1655"/>
      <c r="AI563" s="1676"/>
      <c r="AJ563" s="1677"/>
      <c r="AK563" s="1677"/>
      <c r="AL563" s="1678"/>
      <c r="AM563" s="1407"/>
      <c r="AN563" s="1408"/>
      <c r="AO563" s="1408"/>
      <c r="AP563" s="1408"/>
      <c r="AQ563" s="1408"/>
      <c r="AR563" s="1408"/>
      <c r="AS563" s="1409"/>
      <c r="AT563" s="1147" t="str">
        <f t="shared" si="0"/>
        <v/>
      </c>
      <c r="BB563" s="3"/>
      <c r="BC563" s="3"/>
      <c r="BD563" s="3"/>
      <c r="BE563" s="3"/>
      <c r="BF563" s="3"/>
      <c r="BG563" s="3"/>
      <c r="BH563" s="3"/>
      <c r="BI563" s="3"/>
    </row>
    <row r="564" spans="1:61" ht="12.95" customHeight="1">
      <c r="B564" s="52" t="s">
        <v>362</v>
      </c>
      <c r="C564" s="1657"/>
      <c r="D564" s="1657"/>
      <c r="E564" s="1657"/>
      <c r="F564" s="1657"/>
      <c r="G564" s="1657"/>
      <c r="H564" s="1657"/>
      <c r="I564" s="1657"/>
      <c r="J564" s="1657"/>
      <c r="K564" s="1657"/>
      <c r="L564" s="1657"/>
      <c r="M564" s="1674" t="s">
        <v>1183</v>
      </c>
      <c r="N564" s="1674"/>
      <c r="O564" s="1674"/>
      <c r="P564" s="1674"/>
      <c r="Q564" s="1658"/>
      <c r="R564" s="1659"/>
      <c r="S564" s="1660"/>
      <c r="T564" s="1658"/>
      <c r="U564" s="1659"/>
      <c r="V564" s="1660"/>
      <c r="W564" s="1661"/>
      <c r="X564" s="1662"/>
      <c r="Y564" s="1663"/>
      <c r="Z564" s="1675" t="s">
        <v>1183</v>
      </c>
      <c r="AA564" s="1675"/>
      <c r="AB564" s="1675"/>
      <c r="AC564" s="1675"/>
      <c r="AD564" s="1675"/>
      <c r="AE564" s="1653"/>
      <c r="AF564" s="1654"/>
      <c r="AG564" s="1654"/>
      <c r="AH564" s="1655"/>
      <c r="AI564" s="1676"/>
      <c r="AJ564" s="1677"/>
      <c r="AK564" s="1677"/>
      <c r="AL564" s="1678"/>
      <c r="AM564" s="1407"/>
      <c r="AN564" s="1408"/>
      <c r="AO564" s="1408"/>
      <c r="AP564" s="1408"/>
      <c r="AQ564" s="1408"/>
      <c r="AR564" s="1408"/>
      <c r="AS564" s="1409"/>
      <c r="AT564" s="1147" t="str">
        <f t="shared" si="0"/>
        <v/>
      </c>
      <c r="BB564" s="3"/>
      <c r="BC564" s="3"/>
      <c r="BD564" s="3"/>
      <c r="BE564" s="3"/>
      <c r="BF564" s="3"/>
      <c r="BG564" s="3"/>
      <c r="BH564" s="3"/>
      <c r="BI564" s="3"/>
    </row>
    <row r="565" spans="1:61" ht="12.95" customHeight="1">
      <c r="B565" s="52" t="s">
        <v>363</v>
      </c>
      <c r="C565" s="1657"/>
      <c r="D565" s="1657"/>
      <c r="E565" s="1657"/>
      <c r="F565" s="1657"/>
      <c r="G565" s="1657"/>
      <c r="H565" s="1657"/>
      <c r="I565" s="1657"/>
      <c r="J565" s="1657"/>
      <c r="K565" s="1657"/>
      <c r="L565" s="1657"/>
      <c r="M565" s="1674" t="s">
        <v>1183</v>
      </c>
      <c r="N565" s="1674"/>
      <c r="O565" s="1674"/>
      <c r="P565" s="1674"/>
      <c r="Q565" s="1658"/>
      <c r="R565" s="1659"/>
      <c r="S565" s="1660"/>
      <c r="T565" s="1658"/>
      <c r="U565" s="1659"/>
      <c r="V565" s="1660"/>
      <c r="W565" s="1661"/>
      <c r="X565" s="1662"/>
      <c r="Y565" s="1663"/>
      <c r="Z565" s="1675" t="s">
        <v>1183</v>
      </c>
      <c r="AA565" s="1675"/>
      <c r="AB565" s="1675"/>
      <c r="AC565" s="1675"/>
      <c r="AD565" s="1675"/>
      <c r="AE565" s="1653"/>
      <c r="AF565" s="1654"/>
      <c r="AG565" s="1654"/>
      <c r="AH565" s="1655"/>
      <c r="AI565" s="1676"/>
      <c r="AJ565" s="1677"/>
      <c r="AK565" s="1677"/>
      <c r="AL565" s="1678"/>
      <c r="AM565" s="1407"/>
      <c r="AN565" s="1408"/>
      <c r="AO565" s="1408"/>
      <c r="AP565" s="1408"/>
      <c r="AQ565" s="1408"/>
      <c r="AR565" s="1408"/>
      <c r="AS565" s="1409"/>
      <c r="AT565" s="1147" t="str">
        <f t="shared" si="0"/>
        <v/>
      </c>
      <c r="BB565" s="3"/>
      <c r="BC565" s="3"/>
      <c r="BD565" s="3"/>
      <c r="BE565" s="3"/>
      <c r="BF565" s="3"/>
      <c r="BG565" s="3"/>
      <c r="BH565" s="3"/>
      <c r="BI565" s="3"/>
    </row>
    <row r="566" spans="1:61" ht="12.95" customHeight="1">
      <c r="B566" s="1609" t="s">
        <v>127</v>
      </c>
      <c r="C566" s="1610"/>
      <c r="D566" s="1610"/>
      <c r="E566" s="1610"/>
      <c r="F566" s="1610"/>
      <c r="G566" s="1610"/>
      <c r="H566" s="1610"/>
      <c r="I566" s="1610"/>
      <c r="J566" s="1610"/>
      <c r="K566" s="1610"/>
      <c r="L566" s="1610"/>
      <c r="M566" s="1610"/>
      <c r="N566" s="1610"/>
      <c r="O566" s="1610"/>
      <c r="P566" s="1610"/>
      <c r="Q566" s="1610"/>
      <c r="R566" s="1610"/>
      <c r="S566" s="1610"/>
      <c r="T566" s="1610"/>
      <c r="U566" s="1681"/>
      <c r="V566" s="1610"/>
      <c r="W566" s="1610"/>
      <c r="X566" s="1610"/>
      <c r="Y566" s="1610"/>
      <c r="Z566" s="1610"/>
      <c r="AA566" s="1610"/>
      <c r="AB566" s="1610"/>
      <c r="AC566" s="1610"/>
      <c r="AD566" s="1610"/>
      <c r="AE566" s="1610"/>
      <c r="AF566" s="1610"/>
      <c r="AG566" s="1610"/>
      <c r="AH566" s="1610"/>
      <c r="AI566" s="1610"/>
      <c r="AJ566" s="1610"/>
      <c r="AK566" s="1610"/>
      <c r="AL566" s="1611"/>
      <c r="AM566" s="1424">
        <f>SUM(AM554:AS565)</f>
        <v>124739671</v>
      </c>
      <c r="AN566" s="1425"/>
      <c r="AO566" s="1425"/>
      <c r="AP566" s="1425"/>
      <c r="AQ566" s="1425"/>
      <c r="AR566" s="1425"/>
      <c r="AS566" s="1426"/>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85" t="str">
        <f>C554</f>
        <v xml:space="preserve">Citibank Tax-Exempt Loan </v>
      </c>
      <c r="H568" s="1385"/>
      <c r="I568" s="1385"/>
      <c r="J568" s="1385"/>
      <c r="K568" s="1385"/>
      <c r="L568" s="1385"/>
      <c r="M568" s="1385"/>
      <c r="N568" s="1385"/>
      <c r="O568" s="1385"/>
      <c r="P568" s="1385"/>
      <c r="Q568" s="1385"/>
      <c r="R568" s="1385"/>
      <c r="S568" s="8"/>
      <c r="T568" s="55" t="s">
        <v>113</v>
      </c>
      <c r="U568" t="s">
        <v>463</v>
      </c>
      <c r="Z568" s="1385" t="str">
        <f>C555</f>
        <v xml:space="preserve">Citibank Tax-Exempt Recycled </v>
      </c>
      <c r="AA568" s="1385"/>
      <c r="AB568" s="1385"/>
      <c r="AC568" s="1385"/>
      <c r="AD568" s="1385"/>
      <c r="AE568" s="1385"/>
      <c r="AF568" s="1385"/>
      <c r="AG568" s="1385"/>
      <c r="AH568" s="1385"/>
      <c r="AI568" s="1385"/>
      <c r="AJ568" s="1385"/>
      <c r="AK568" s="1385"/>
      <c r="BB568" s="3"/>
      <c r="BC568" s="3"/>
      <c r="BD568" s="3"/>
      <c r="BE568" s="3"/>
      <c r="BF568" s="3"/>
      <c r="BG568" s="3"/>
      <c r="BH568" s="3"/>
      <c r="BI568" s="3"/>
    </row>
    <row r="569" spans="1:61" ht="12.95" customHeight="1">
      <c r="A569" s="22"/>
      <c r="B569" t="s">
        <v>85</v>
      </c>
      <c r="G569" s="1339" t="s">
        <v>2715</v>
      </c>
      <c r="H569" s="1339"/>
      <c r="I569" s="1339"/>
      <c r="J569" s="1339"/>
      <c r="K569" s="1339"/>
      <c r="L569" s="1339"/>
      <c r="M569" s="1339"/>
      <c r="N569" s="1339"/>
      <c r="O569" s="1339"/>
      <c r="P569" s="1339"/>
      <c r="Q569" s="1339"/>
      <c r="R569" s="1339"/>
      <c r="S569" s="8"/>
      <c r="T569" s="22"/>
      <c r="U569" t="s">
        <v>85</v>
      </c>
      <c r="Z569" s="1339" t="s">
        <v>2715</v>
      </c>
      <c r="AA569" s="1339"/>
      <c r="AB569" s="1339"/>
      <c r="AC569" s="1339"/>
      <c r="AD569" s="1339"/>
      <c r="AE569" s="1339"/>
      <c r="AF569" s="1339"/>
      <c r="AG569" s="1339"/>
      <c r="AH569" s="1339"/>
      <c r="AI569" s="1339"/>
      <c r="AJ569" s="1339"/>
      <c r="AK569" s="1339"/>
      <c r="BB569" s="3"/>
      <c r="BC569" s="3"/>
      <c r="BD569" s="3"/>
      <c r="BE569" s="3"/>
      <c r="BF569" s="3"/>
      <c r="BG569" s="3"/>
      <c r="BH569" s="3"/>
      <c r="BI569" s="3"/>
    </row>
    <row r="570" spans="1:61" ht="12.95" customHeight="1">
      <c r="A570" s="22"/>
      <c r="B570" t="s">
        <v>580</v>
      </c>
      <c r="G570" s="1339" t="s">
        <v>2652</v>
      </c>
      <c r="H570" s="1339"/>
      <c r="I570" s="1339"/>
      <c r="J570" s="1339"/>
      <c r="K570" s="1339"/>
      <c r="L570" s="1339"/>
      <c r="M570" s="1339"/>
      <c r="N570" s="1339"/>
      <c r="O570" s="1339"/>
      <c r="P570" s="1339"/>
      <c r="Q570" s="1339"/>
      <c r="R570" s="1339"/>
      <c r="T570" s="22"/>
      <c r="U570" t="s">
        <v>580</v>
      </c>
      <c r="Z570" s="1656" t="s">
        <v>2652</v>
      </c>
      <c r="AA570" s="1656"/>
      <c r="AB570" s="1656"/>
      <c r="AC570" s="1656"/>
      <c r="AD570" s="1656"/>
      <c r="AE570" s="1656"/>
      <c r="AF570" s="1656"/>
      <c r="AG570" s="1656"/>
      <c r="AH570" s="1656"/>
      <c r="AI570" s="1656"/>
      <c r="AJ570" s="1656"/>
      <c r="AK570" s="1656"/>
      <c r="BB570" s="3"/>
      <c r="BC570" s="3"/>
      <c r="BD570" s="3"/>
      <c r="BE570" s="3"/>
      <c r="BF570" s="3"/>
      <c r="BG570" s="3"/>
      <c r="BH570" s="3"/>
      <c r="BI570" s="3"/>
    </row>
    <row r="571" spans="1:61" ht="12.95" customHeight="1">
      <c r="A571" s="22"/>
      <c r="B571" t="s">
        <v>17</v>
      </c>
      <c r="G571" s="1339" t="s">
        <v>2716</v>
      </c>
      <c r="H571" s="1339"/>
      <c r="I571" s="1339"/>
      <c r="J571" s="1339"/>
      <c r="K571" s="1339"/>
      <c r="L571" s="1339"/>
      <c r="M571" s="1339"/>
      <c r="N571" s="1339"/>
      <c r="O571" s="1339"/>
      <c r="P571" s="1339"/>
      <c r="Q571" s="1339"/>
      <c r="R571" s="1339"/>
      <c r="S571" s="8"/>
      <c r="T571" s="22"/>
      <c r="U571" t="s">
        <v>17</v>
      </c>
      <c r="Z571" s="1656" t="s">
        <v>2716</v>
      </c>
      <c r="AA571" s="1656"/>
      <c r="AB571" s="1656"/>
      <c r="AC571" s="1656"/>
      <c r="AD571" s="1656"/>
      <c r="AE571" s="1656"/>
      <c r="AF571" s="1656"/>
      <c r="AG571" s="1656"/>
      <c r="AH571" s="1656"/>
      <c r="AI571" s="1656"/>
      <c r="AJ571" s="1656"/>
      <c r="AK571" s="1656"/>
      <c r="BB571" s="3"/>
      <c r="BC571" s="3"/>
      <c r="BD571" s="3"/>
      <c r="BE571" s="3"/>
      <c r="BF571" s="3"/>
      <c r="BG571" s="3"/>
      <c r="BH571" s="3"/>
      <c r="BI571" s="3"/>
    </row>
    <row r="572" spans="1:61" ht="12.95" customHeight="1">
      <c r="A572" s="22"/>
      <c r="B572" t="s">
        <v>316</v>
      </c>
      <c r="G572" s="1410" t="s">
        <v>2717</v>
      </c>
      <c r="H572" s="1410"/>
      <c r="I572" s="1410"/>
      <c r="J572" s="1410"/>
      <c r="K572" s="1410"/>
      <c r="L572" s="1410"/>
      <c r="O572" s="33" t="s">
        <v>206</v>
      </c>
      <c r="P572" s="1441"/>
      <c r="Q572" s="1441"/>
      <c r="R572" s="1441"/>
      <c r="S572" s="10"/>
      <c r="T572" s="22"/>
      <c r="U572" t="s">
        <v>316</v>
      </c>
      <c r="Z572" s="1410" t="s">
        <v>2717</v>
      </c>
      <c r="AA572" s="1410"/>
      <c r="AB572" s="1410"/>
      <c r="AC572" s="1410"/>
      <c r="AD572" s="1410"/>
      <c r="AE572" s="1410"/>
      <c r="AH572" s="33" t="s">
        <v>206</v>
      </c>
      <c r="AI572" s="1441"/>
      <c r="AJ572" s="1441"/>
      <c r="AK572" s="1441"/>
      <c r="BB572" s="3"/>
      <c r="BC572" s="3"/>
      <c r="BD572" s="3"/>
      <c r="BE572" s="3"/>
      <c r="BF572" s="3"/>
      <c r="BG572" s="3"/>
      <c r="BH572" s="3"/>
      <c r="BI572" s="3"/>
    </row>
    <row r="573" spans="1:61" ht="12.95" customHeight="1">
      <c r="A573" s="22"/>
      <c r="B573" t="s">
        <v>18</v>
      </c>
      <c r="H573" s="1339" t="s">
        <v>2721</v>
      </c>
      <c r="I573" s="1339"/>
      <c r="J573" s="1339"/>
      <c r="K573" s="1339"/>
      <c r="L573" s="1339"/>
      <c r="M573" s="1339"/>
      <c r="N573" s="1339"/>
      <c r="O573" s="1339"/>
      <c r="P573" s="1339"/>
      <c r="Q573" s="1339"/>
      <c r="R573" s="1339"/>
      <c r="S573" s="8"/>
      <c r="T573" s="22"/>
      <c r="U573" t="s">
        <v>18</v>
      </c>
      <c r="AA573" s="1339" t="s">
        <v>2722</v>
      </c>
      <c r="AB573" s="1339"/>
      <c r="AC573" s="1339"/>
      <c r="AD573" s="1339"/>
      <c r="AE573" s="1339"/>
      <c r="AF573" s="1339"/>
      <c r="AG573" s="1339"/>
      <c r="AH573" s="1339"/>
      <c r="AI573" s="1339"/>
      <c r="AJ573" s="1339"/>
      <c r="AK573" s="1339"/>
      <c r="BB573" s="3"/>
      <c r="BC573" s="3"/>
      <c r="BD573" s="3"/>
      <c r="BE573" s="3"/>
      <c r="BF573" s="3"/>
      <c r="BG573" s="3"/>
      <c r="BH573" s="3"/>
      <c r="BI573" s="3"/>
    </row>
    <row r="574" spans="1:61" ht="12.95" customHeight="1">
      <c r="A574" s="22"/>
      <c r="B574" s="320" t="s">
        <v>1184</v>
      </c>
      <c r="H574" s="8"/>
      <c r="I574" s="8"/>
      <c r="J574" s="8"/>
      <c r="K574" s="8"/>
      <c r="L574" s="8"/>
      <c r="M574" s="1735" t="s">
        <v>2750</v>
      </c>
      <c r="N574" s="1723"/>
      <c r="O574" s="1723"/>
      <c r="P574" s="1723"/>
      <c r="Q574" s="1723"/>
      <c r="R574" s="1723"/>
      <c r="S574" s="8"/>
      <c r="T574" s="22"/>
      <c r="U574" s="320" t="s">
        <v>1184</v>
      </c>
      <c r="AA574" s="8"/>
      <c r="AB574" s="8"/>
      <c r="AC574" s="8"/>
      <c r="AD574" s="8"/>
      <c r="AE574" s="8"/>
      <c r="AF574" s="1735" t="s">
        <v>2750</v>
      </c>
      <c r="AG574" s="1723"/>
      <c r="AH574" s="1723"/>
      <c r="AI574" s="1723"/>
      <c r="AJ574" s="1723"/>
      <c r="AK574" s="1723"/>
      <c r="BB574" s="3"/>
      <c r="BC574" s="3"/>
      <c r="BD574" s="3"/>
      <c r="BE574" s="3"/>
      <c r="BF574" s="3"/>
      <c r="BG574" s="3"/>
      <c r="BH574" s="3"/>
      <c r="BI574" s="3"/>
    </row>
    <row r="575" spans="1:61" ht="12.95" customHeight="1">
      <c r="A575" s="22"/>
      <c r="B575" t="s">
        <v>20</v>
      </c>
      <c r="N575" s="1331" t="s">
        <v>545</v>
      </c>
      <c r="O575" s="1331"/>
      <c r="T575" s="22"/>
      <c r="U575" t="s">
        <v>20</v>
      </c>
      <c r="AG575" s="1331" t="s">
        <v>545</v>
      </c>
      <c r="AH575" s="1331"/>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85" t="str">
        <f>C556</f>
        <v xml:space="preserve">Citibank Taxable Loan </v>
      </c>
      <c r="H577" s="1385"/>
      <c r="I577" s="1385"/>
      <c r="J577" s="1385"/>
      <c r="K577" s="1385"/>
      <c r="L577" s="1385"/>
      <c r="M577" s="1385"/>
      <c r="N577" s="1385"/>
      <c r="O577" s="1385"/>
      <c r="P577" s="1385"/>
      <c r="Q577" s="1385"/>
      <c r="R577" s="1385"/>
      <c r="T577" s="55" t="s">
        <v>581</v>
      </c>
      <c r="U577" t="s">
        <v>463</v>
      </c>
      <c r="Z577" s="1385" t="str">
        <f>C557</f>
        <v xml:space="preserve">Boston Financial - Federal Tax Credit Equity </v>
      </c>
      <c r="AA577" s="1385"/>
      <c r="AB577" s="1385"/>
      <c r="AC577" s="1385"/>
      <c r="AD577" s="1385"/>
      <c r="AE577" s="1385"/>
      <c r="AF577" s="1385"/>
      <c r="AG577" s="1385"/>
      <c r="AH577" s="1385"/>
      <c r="AI577" s="1385"/>
      <c r="AJ577" s="1385"/>
      <c r="AK577" s="1385"/>
      <c r="BB577" s="3"/>
      <c r="BC577" s="3"/>
    </row>
    <row r="578" spans="1:55" ht="12.95" customHeight="1">
      <c r="A578" s="22"/>
      <c r="B578" t="s">
        <v>85</v>
      </c>
      <c r="G578" s="1339" t="s">
        <v>2715</v>
      </c>
      <c r="H578" s="1339"/>
      <c r="I578" s="1339"/>
      <c r="J578" s="1339"/>
      <c r="K578" s="1339"/>
      <c r="L578" s="1339"/>
      <c r="M578" s="1339"/>
      <c r="N578" s="1339"/>
      <c r="O578" s="1339"/>
      <c r="P578" s="1339"/>
      <c r="Q578" s="1339"/>
      <c r="R578" s="1339"/>
      <c r="T578" s="22"/>
      <c r="U578" t="s">
        <v>85</v>
      </c>
      <c r="Z578" s="1339" t="s">
        <v>2724</v>
      </c>
      <c r="AA578" s="1339"/>
      <c r="AB578" s="1339"/>
      <c r="AC578" s="1339"/>
      <c r="AD578" s="1339"/>
      <c r="AE578" s="1339"/>
      <c r="AF578" s="1339"/>
      <c r="AG578" s="1339"/>
      <c r="AH578" s="1339"/>
      <c r="AI578" s="1339"/>
      <c r="AJ578" s="1339"/>
      <c r="AK578" s="1339"/>
      <c r="BB578" s="3"/>
      <c r="BC578" s="3"/>
    </row>
    <row r="579" spans="1:55" ht="12.95" customHeight="1">
      <c r="A579" s="22"/>
      <c r="B579" t="s">
        <v>580</v>
      </c>
      <c r="G579" s="1656" t="s">
        <v>2652</v>
      </c>
      <c r="H579" s="1656"/>
      <c r="I579" s="1656"/>
      <c r="J579" s="1656"/>
      <c r="K579" s="1656"/>
      <c r="L579" s="1656"/>
      <c r="M579" s="1656"/>
      <c r="N579" s="1656"/>
      <c r="O579" s="1656"/>
      <c r="P579" s="1656"/>
      <c r="Q579" s="1656"/>
      <c r="R579" s="1656"/>
      <c r="T579" s="22"/>
      <c r="U579" t="s">
        <v>580</v>
      </c>
      <c r="Z579" s="1656" t="s">
        <v>2725</v>
      </c>
      <c r="AA579" s="1656"/>
      <c r="AB579" s="1656"/>
      <c r="AC579" s="1656"/>
      <c r="AD579" s="1656"/>
      <c r="AE579" s="1656"/>
      <c r="AF579" s="1656"/>
      <c r="AG579" s="1656"/>
      <c r="AH579" s="1656"/>
      <c r="AI579" s="1656"/>
      <c r="AJ579" s="1656"/>
      <c r="AK579" s="1656"/>
      <c r="BB579" s="3"/>
      <c r="BC579" s="3"/>
    </row>
    <row r="580" spans="1:55" ht="12.95" customHeight="1">
      <c r="A580" s="22"/>
      <c r="B580" t="s">
        <v>17</v>
      </c>
      <c r="G580" s="1656" t="s">
        <v>2716</v>
      </c>
      <c r="H580" s="1656"/>
      <c r="I580" s="1656"/>
      <c r="J580" s="1656"/>
      <c r="K580" s="1656"/>
      <c r="L580" s="1656"/>
      <c r="M580" s="1656"/>
      <c r="N580" s="1656"/>
      <c r="O580" s="1656"/>
      <c r="P580" s="1656"/>
      <c r="Q580" s="1656"/>
      <c r="R580" s="1656"/>
      <c r="T580" s="22"/>
      <c r="U580" t="s">
        <v>17</v>
      </c>
      <c r="Z580" s="1656" t="s">
        <v>2726</v>
      </c>
      <c r="AA580" s="1656"/>
      <c r="AB580" s="1656"/>
      <c r="AC580" s="1656"/>
      <c r="AD580" s="1656"/>
      <c r="AE580" s="1656"/>
      <c r="AF580" s="1656"/>
      <c r="AG580" s="1656"/>
      <c r="AH580" s="1656"/>
      <c r="AI580" s="1656"/>
      <c r="AJ580" s="1656"/>
      <c r="AK580" s="1656"/>
      <c r="BB580" s="3"/>
      <c r="BC580" s="3"/>
    </row>
    <row r="581" spans="1:55" ht="12.95" customHeight="1">
      <c r="A581" s="22"/>
      <c r="B581" t="s">
        <v>316</v>
      </c>
      <c r="G581" s="1410" t="s">
        <v>2717</v>
      </c>
      <c r="H581" s="1410"/>
      <c r="I581" s="1410"/>
      <c r="J581" s="1410"/>
      <c r="K581" s="1410"/>
      <c r="L581" s="1410"/>
      <c r="O581" s="33" t="s">
        <v>206</v>
      </c>
      <c r="P581" s="1441"/>
      <c r="Q581" s="1441"/>
      <c r="R581" s="1441"/>
      <c r="T581" s="22"/>
      <c r="U581" t="s">
        <v>316</v>
      </c>
      <c r="Z581" s="1673" t="s">
        <v>2728</v>
      </c>
      <c r="AA581" s="1410"/>
      <c r="AB581" s="1410"/>
      <c r="AC581" s="1410"/>
      <c r="AD581" s="1410"/>
      <c r="AE581" s="1410"/>
      <c r="AH581" s="33" t="s">
        <v>206</v>
      </c>
      <c r="AI581" s="1441"/>
      <c r="AJ581" s="1441"/>
      <c r="AK581" s="1441"/>
      <c r="BB581" s="3"/>
      <c r="BC581" s="3"/>
    </row>
    <row r="582" spans="1:55" ht="12.95" customHeight="1">
      <c r="A582" s="22"/>
      <c r="B582" t="s">
        <v>18</v>
      </c>
      <c r="H582" s="1339" t="s">
        <v>2723</v>
      </c>
      <c r="I582" s="1339"/>
      <c r="J582" s="1339"/>
      <c r="K582" s="1339"/>
      <c r="L582" s="1339"/>
      <c r="M582" s="1339"/>
      <c r="N582" s="1339"/>
      <c r="O582" s="1339"/>
      <c r="P582" s="1339"/>
      <c r="Q582" s="1339"/>
      <c r="R582" s="1339"/>
      <c r="T582" s="22"/>
      <c r="U582" t="s">
        <v>18</v>
      </c>
      <c r="AA582" s="1339" t="s">
        <v>2727</v>
      </c>
      <c r="AB582" s="1339"/>
      <c r="AC582" s="1339"/>
      <c r="AD582" s="1339"/>
      <c r="AE582" s="1339"/>
      <c r="AF582" s="1339"/>
      <c r="AG582" s="1339"/>
      <c r="AH582" s="1339"/>
      <c r="AI582" s="1339"/>
      <c r="AJ582" s="1339"/>
      <c r="AK582" s="1339"/>
      <c r="BB582" s="3"/>
      <c r="BC582" s="3"/>
    </row>
    <row r="583" spans="1:55" ht="12.95" customHeight="1">
      <c r="A583" s="22"/>
      <c r="B583" t="s">
        <v>20</v>
      </c>
      <c r="N583" s="1331" t="s">
        <v>545</v>
      </c>
      <c r="O583" s="1331"/>
      <c r="T583" s="22"/>
      <c r="U583" t="s">
        <v>20</v>
      </c>
      <c r="AG583" s="1331" t="s">
        <v>545</v>
      </c>
      <c r="AH583" s="1331"/>
      <c r="BB583" s="3"/>
      <c r="BC583" s="3"/>
    </row>
    <row r="584" spans="1:55" ht="12.95" customHeight="1">
      <c r="A584" s="22"/>
      <c r="T584" s="22"/>
      <c r="BB584" s="3"/>
      <c r="BC584" s="3"/>
    </row>
    <row r="585" spans="1:55" ht="12.95" customHeight="1">
      <c r="A585" s="55" t="s">
        <v>763</v>
      </c>
      <c r="B585" t="s">
        <v>463</v>
      </c>
      <c r="G585" s="1385" t="str">
        <f>C558</f>
        <v xml:space="preserve">Deferred Operating Reserve </v>
      </c>
      <c r="H585" s="1385"/>
      <c r="I585" s="1385"/>
      <c r="J585" s="1385"/>
      <c r="K585" s="1385"/>
      <c r="L585" s="1385"/>
      <c r="M585" s="1385"/>
      <c r="N585" s="1385"/>
      <c r="O585" s="1385"/>
      <c r="P585" s="1385"/>
      <c r="Q585" s="1385"/>
      <c r="R585" s="1385"/>
      <c r="T585" s="55" t="s">
        <v>584</v>
      </c>
      <c r="U585" t="s">
        <v>463</v>
      </c>
      <c r="Z585" s="1385" t="str">
        <f>C559</f>
        <v>Deferred Developer Fee</v>
      </c>
      <c r="AA585" s="1385"/>
      <c r="AB585" s="1385"/>
      <c r="AC585" s="1385"/>
      <c r="AD585" s="1385"/>
      <c r="AE585" s="1385"/>
      <c r="AF585" s="1385"/>
      <c r="AG585" s="1385"/>
      <c r="AH585" s="1385"/>
      <c r="AI585" s="1385"/>
      <c r="AJ585" s="1385"/>
      <c r="AK585" s="1385"/>
      <c r="BB585" s="3"/>
      <c r="BC585" s="3"/>
    </row>
    <row r="586" spans="1:55" ht="12.95" customHeight="1">
      <c r="A586" s="22"/>
      <c r="B586" t="s">
        <v>85</v>
      </c>
      <c r="G586" s="1339" t="s">
        <v>2729</v>
      </c>
      <c r="H586" s="1339"/>
      <c r="I586" s="1339"/>
      <c r="J586" s="1339"/>
      <c r="K586" s="1339"/>
      <c r="L586" s="1339"/>
      <c r="M586" s="1339"/>
      <c r="N586" s="1339"/>
      <c r="O586" s="1339"/>
      <c r="P586" s="1339"/>
      <c r="Q586" s="1339"/>
      <c r="R586" s="1339"/>
      <c r="T586" s="22"/>
      <c r="U586" t="s">
        <v>85</v>
      </c>
      <c r="Z586" s="1339" t="s">
        <v>2729</v>
      </c>
      <c r="AA586" s="1339"/>
      <c r="AB586" s="1339"/>
      <c r="AC586" s="1339"/>
      <c r="AD586" s="1339"/>
      <c r="AE586" s="1339"/>
      <c r="AF586" s="1339"/>
      <c r="AG586" s="1339"/>
      <c r="AH586" s="1339"/>
      <c r="AI586" s="1339"/>
      <c r="AJ586" s="1339"/>
      <c r="AK586" s="1339"/>
      <c r="BB586" s="3"/>
      <c r="BC586" s="3"/>
    </row>
    <row r="587" spans="1:55" ht="12.95" customHeight="1">
      <c r="A587" s="22"/>
      <c r="B587" t="s">
        <v>580</v>
      </c>
      <c r="G587" s="1339" t="s">
        <v>494</v>
      </c>
      <c r="H587" s="1339"/>
      <c r="I587" s="1339"/>
      <c r="J587" s="1339"/>
      <c r="K587" s="1339"/>
      <c r="L587" s="1339"/>
      <c r="M587" s="1339"/>
      <c r="N587" s="1339"/>
      <c r="O587" s="1339"/>
      <c r="P587" s="1339"/>
      <c r="Q587" s="1339"/>
      <c r="R587" s="1339"/>
      <c r="T587" s="22"/>
      <c r="U587" t="s">
        <v>580</v>
      </c>
      <c r="Z587" s="1656" t="s">
        <v>494</v>
      </c>
      <c r="AA587" s="1656"/>
      <c r="AB587" s="1656"/>
      <c r="AC587" s="1656"/>
      <c r="AD587" s="1656"/>
      <c r="AE587" s="1656"/>
      <c r="AF587" s="1656"/>
      <c r="AG587" s="1656"/>
      <c r="AH587" s="1656"/>
      <c r="AI587" s="1656"/>
      <c r="AJ587" s="1656"/>
      <c r="AK587" s="1656"/>
      <c r="BB587" s="3"/>
      <c r="BC587" s="3"/>
    </row>
    <row r="588" spans="1:55" ht="12.95" customHeight="1">
      <c r="A588" s="22"/>
      <c r="B588" t="s">
        <v>17</v>
      </c>
      <c r="G588" s="1339" t="s">
        <v>2730</v>
      </c>
      <c r="H588" s="1339"/>
      <c r="I588" s="1339"/>
      <c r="J588" s="1339"/>
      <c r="K588" s="1339"/>
      <c r="L588" s="1339"/>
      <c r="M588" s="1339"/>
      <c r="N588" s="1339"/>
      <c r="O588" s="1339"/>
      <c r="P588" s="1339"/>
      <c r="Q588" s="1339"/>
      <c r="R588" s="1339"/>
      <c r="T588" s="22"/>
      <c r="U588" t="s">
        <v>17</v>
      </c>
      <c r="Z588" s="1656" t="s">
        <v>2730</v>
      </c>
      <c r="AA588" s="1656"/>
      <c r="AB588" s="1656"/>
      <c r="AC588" s="1656"/>
      <c r="AD588" s="1656"/>
      <c r="AE588" s="1656"/>
      <c r="AF588" s="1656"/>
      <c r="AG588" s="1656"/>
      <c r="AH588" s="1656"/>
      <c r="AI588" s="1656"/>
      <c r="AJ588" s="1656"/>
      <c r="AK588" s="1656"/>
    </row>
    <row r="589" spans="1:55" ht="12.95" customHeight="1">
      <c r="A589" s="22"/>
      <c r="B589" t="s">
        <v>316</v>
      </c>
      <c r="G589" s="1673" t="s">
        <v>2635</v>
      </c>
      <c r="H589" s="1410"/>
      <c r="I589" s="1410"/>
      <c r="J589" s="1410"/>
      <c r="K589" s="1410"/>
      <c r="L589" s="1410"/>
      <c r="O589" s="33" t="s">
        <v>206</v>
      </c>
      <c r="P589" s="1441">
        <v>106</v>
      </c>
      <c r="Q589" s="1441"/>
      <c r="R589" s="1441"/>
      <c r="T589" s="22"/>
      <c r="U589" t="s">
        <v>316</v>
      </c>
      <c r="Z589" s="1410" t="s">
        <v>2635</v>
      </c>
      <c r="AA589" s="1410"/>
      <c r="AB589" s="1410"/>
      <c r="AC589" s="1410"/>
      <c r="AD589" s="1410"/>
      <c r="AE589" s="1410"/>
      <c r="AH589" s="33" t="s">
        <v>206</v>
      </c>
      <c r="AI589" s="1441">
        <v>106</v>
      </c>
      <c r="AJ589" s="1441"/>
      <c r="AK589" s="1441"/>
      <c r="AZ589" s="3"/>
      <c r="BA589" s="3"/>
      <c r="BB589" s="3"/>
      <c r="BC589" s="3"/>
    </row>
    <row r="590" spans="1:55" ht="12.95" customHeight="1">
      <c r="A590" s="22"/>
      <c r="B590" t="s">
        <v>18</v>
      </c>
      <c r="H590" s="1339" t="s">
        <v>2731</v>
      </c>
      <c r="I590" s="1339"/>
      <c r="J590" s="1339"/>
      <c r="K590" s="1339"/>
      <c r="L590" s="1339"/>
      <c r="M590" s="1339"/>
      <c r="N590" s="1339"/>
      <c r="O590" s="1339"/>
      <c r="P590" s="1339"/>
      <c r="Q590" s="1339"/>
      <c r="R590" s="1339"/>
      <c r="T590" s="22"/>
      <c r="U590" t="s">
        <v>18</v>
      </c>
      <c r="AA590" s="1339" t="s">
        <v>2321</v>
      </c>
      <c r="AB590" s="1339"/>
      <c r="AC590" s="1339"/>
      <c r="AD590" s="1339"/>
      <c r="AE590" s="1339"/>
      <c r="AF590" s="1339"/>
      <c r="AG590" s="1339"/>
      <c r="AH590" s="1339"/>
      <c r="AI590" s="1339"/>
      <c r="AJ590" s="1339"/>
      <c r="AK590" s="1339"/>
      <c r="AZ590" s="3"/>
      <c r="BA590" s="3"/>
      <c r="BB590" s="3"/>
      <c r="BC590" s="3"/>
    </row>
    <row r="591" spans="1:55" ht="12.95" customHeight="1">
      <c r="A591" s="22"/>
      <c r="B591" t="s">
        <v>20</v>
      </c>
      <c r="N591" s="1331" t="s">
        <v>545</v>
      </c>
      <c r="O591" s="1331"/>
      <c r="T591" s="22"/>
      <c r="U591" t="s">
        <v>20</v>
      </c>
      <c r="AG591" s="1331" t="s">
        <v>545</v>
      </c>
      <c r="AH591" s="1331"/>
      <c r="AZ591" s="3"/>
      <c r="BA591" s="3"/>
      <c r="BB591" s="3"/>
      <c r="BC591" s="3"/>
    </row>
    <row r="592" spans="1:55" ht="12.95" customHeight="1">
      <c r="A592" s="22"/>
      <c r="T592" s="22"/>
      <c r="AZ592" s="3"/>
      <c r="BA592" s="3"/>
      <c r="BB592" s="3"/>
      <c r="BC592" s="3"/>
    </row>
    <row r="593" spans="1:55" ht="12.95" customHeight="1">
      <c r="A593" s="55" t="s">
        <v>455</v>
      </c>
      <c r="B593" t="s">
        <v>463</v>
      </c>
      <c r="G593" s="1385">
        <f>C560</f>
        <v>0</v>
      </c>
      <c r="H593" s="1385"/>
      <c r="I593" s="1385"/>
      <c r="J593" s="1385"/>
      <c r="K593" s="1385"/>
      <c r="L593" s="1385"/>
      <c r="M593" s="1385"/>
      <c r="N593" s="1385"/>
      <c r="O593" s="1385"/>
      <c r="P593" s="1385"/>
      <c r="Q593" s="1385"/>
      <c r="R593" s="1385"/>
      <c r="T593" s="55" t="s">
        <v>456</v>
      </c>
      <c r="U593" t="s">
        <v>463</v>
      </c>
      <c r="Z593" s="1385">
        <f>C561</f>
        <v>0</v>
      </c>
      <c r="AA593" s="1385"/>
      <c r="AB593" s="1385"/>
      <c r="AC593" s="1385"/>
      <c r="AD593" s="1385"/>
      <c r="AE593" s="1385"/>
      <c r="AF593" s="1385"/>
      <c r="AG593" s="1385"/>
      <c r="AH593" s="1385"/>
      <c r="AI593" s="1385"/>
      <c r="AJ593" s="1385"/>
      <c r="AK593" s="1385"/>
      <c r="AZ593" s="3"/>
      <c r="BA593" s="3"/>
      <c r="BB593" s="3"/>
      <c r="BC593" s="3"/>
    </row>
    <row r="594" spans="1:55" s="4" customFormat="1" ht="12.95" customHeight="1">
      <c r="A594" s="22"/>
      <c r="B594" t="s">
        <v>85</v>
      </c>
      <c r="C594"/>
      <c r="D594"/>
      <c r="E594"/>
      <c r="F594"/>
      <c r="G594" s="1339"/>
      <c r="H594" s="1339"/>
      <c r="I594" s="1339"/>
      <c r="J594" s="1339"/>
      <c r="K594" s="1339"/>
      <c r="L594" s="1339"/>
      <c r="M594" s="1339"/>
      <c r="N594" s="1339"/>
      <c r="O594" s="1339"/>
      <c r="P594" s="1339"/>
      <c r="Q594" s="1339"/>
      <c r="R594" s="1339"/>
      <c r="S594"/>
      <c r="T594" s="22"/>
      <c r="U594" t="s">
        <v>85</v>
      </c>
      <c r="V594"/>
      <c r="W594"/>
      <c r="X594"/>
      <c r="Y594"/>
      <c r="Z594" s="1339"/>
      <c r="AA594" s="1339"/>
      <c r="AB594" s="1339"/>
      <c r="AC594" s="1339"/>
      <c r="AD594" s="1339"/>
      <c r="AE594" s="1339"/>
      <c r="AF594" s="1339"/>
      <c r="AG594" s="1339"/>
      <c r="AH594" s="1339"/>
      <c r="AI594" s="1339"/>
      <c r="AJ594" s="1339"/>
      <c r="AK594" s="1339"/>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39"/>
      <c r="H595" s="1339"/>
      <c r="I595" s="1339"/>
      <c r="J595" s="1339"/>
      <c r="K595" s="1339"/>
      <c r="L595" s="1339"/>
      <c r="M595" s="1339"/>
      <c r="N595" s="1339"/>
      <c r="O595" s="1339"/>
      <c r="P595" s="1339"/>
      <c r="Q595" s="1339"/>
      <c r="R595" s="1339"/>
      <c r="S595"/>
      <c r="T595" s="22"/>
      <c r="U595" t="s">
        <v>580</v>
      </c>
      <c r="V595"/>
      <c r="W595"/>
      <c r="X595"/>
      <c r="Y595"/>
      <c r="Z595" s="1656"/>
      <c r="AA595" s="1656"/>
      <c r="AB595" s="1656"/>
      <c r="AC595" s="1656"/>
      <c r="AD595" s="1656"/>
      <c r="AE595" s="1656"/>
      <c r="AF595" s="1656"/>
      <c r="AG595" s="1656"/>
      <c r="AH595" s="1656"/>
      <c r="AI595" s="1656"/>
      <c r="AJ595" s="1656"/>
      <c r="AK595" s="1656"/>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39"/>
      <c r="H596" s="1339"/>
      <c r="I596" s="1339"/>
      <c r="J596" s="1339"/>
      <c r="K596" s="1339"/>
      <c r="L596" s="1339"/>
      <c r="M596" s="1339"/>
      <c r="N596" s="1339"/>
      <c r="O596" s="1339"/>
      <c r="P596" s="1339"/>
      <c r="Q596" s="1339"/>
      <c r="R596" s="1339"/>
      <c r="S596"/>
      <c r="T596" s="22"/>
      <c r="U596" t="s">
        <v>17</v>
      </c>
      <c r="V596"/>
      <c r="W596"/>
      <c r="X596"/>
      <c r="Y596"/>
      <c r="Z596" s="1656"/>
      <c r="AA596" s="1656"/>
      <c r="AB596" s="1656"/>
      <c r="AC596" s="1656"/>
      <c r="AD596" s="1656"/>
      <c r="AE596" s="1656"/>
      <c r="AF596" s="1656"/>
      <c r="AG596" s="1656"/>
      <c r="AH596" s="1656"/>
      <c r="AI596" s="1656"/>
      <c r="AJ596" s="1656"/>
      <c r="AK596" s="1656"/>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10"/>
      <c r="H597" s="1410"/>
      <c r="I597" s="1410"/>
      <c r="J597" s="1410"/>
      <c r="K597" s="1410"/>
      <c r="L597" s="1410"/>
      <c r="M597"/>
      <c r="N597"/>
      <c r="O597" s="33" t="s">
        <v>206</v>
      </c>
      <c r="P597" s="1441"/>
      <c r="Q597" s="1441"/>
      <c r="R597" s="1441"/>
      <c r="S597"/>
      <c r="T597" s="22"/>
      <c r="U597" t="s">
        <v>316</v>
      </c>
      <c r="V597"/>
      <c r="W597"/>
      <c r="X597"/>
      <c r="Y597"/>
      <c r="Z597" s="1410"/>
      <c r="AA597" s="1410"/>
      <c r="AB597" s="1410"/>
      <c r="AC597" s="1410"/>
      <c r="AD597" s="1410"/>
      <c r="AE597" s="1410"/>
      <c r="AF597"/>
      <c r="AG597"/>
      <c r="AH597" s="33" t="s">
        <v>206</v>
      </c>
      <c r="AI597" s="1441"/>
      <c r="AJ597" s="1441"/>
      <c r="AK597" s="1441"/>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39"/>
      <c r="I598" s="1339"/>
      <c r="J598" s="1339"/>
      <c r="K598" s="1339"/>
      <c r="L598" s="1339"/>
      <c r="M598" s="1339"/>
      <c r="N598" s="1339"/>
      <c r="O598" s="1339"/>
      <c r="P598" s="1339"/>
      <c r="Q598" s="1339"/>
      <c r="R598" s="1339"/>
      <c r="S598"/>
      <c r="T598" s="22"/>
      <c r="U598" t="s">
        <v>18</v>
      </c>
      <c r="V598"/>
      <c r="W598"/>
      <c r="X598"/>
      <c r="Y598"/>
      <c r="Z598"/>
      <c r="AA598" s="1339"/>
      <c r="AB598" s="1339"/>
      <c r="AC598" s="1339"/>
      <c r="AD598" s="1339"/>
      <c r="AE598" s="1339"/>
      <c r="AF598" s="1339"/>
      <c r="AG598" s="1339"/>
      <c r="AH598" s="1339"/>
      <c r="AI598" s="1339"/>
      <c r="AJ598" s="1339"/>
      <c r="AK598" s="1339"/>
      <c r="AL598"/>
      <c r="AM598"/>
      <c r="AN598"/>
      <c r="AO598"/>
      <c r="AP598"/>
      <c r="AQ598"/>
      <c r="AR598"/>
      <c r="AS598"/>
      <c r="AT598"/>
      <c r="AU598"/>
      <c r="AV598"/>
      <c r="AW598"/>
      <c r="AX598"/>
      <c r="AY598"/>
      <c r="BB598" s="3"/>
      <c r="BC598" s="3"/>
    </row>
    <row r="599" spans="1:55" ht="12.95" customHeight="1">
      <c r="A599" s="22"/>
      <c r="B599" t="s">
        <v>20</v>
      </c>
      <c r="N599" s="1331"/>
      <c r="O599" s="1331"/>
      <c r="T599" s="22"/>
      <c r="U599" t="s">
        <v>20</v>
      </c>
      <c r="AG599" s="1331" t="s">
        <v>669</v>
      </c>
      <c r="AH599" s="1331"/>
      <c r="BB599" s="3"/>
      <c r="BC599" s="3"/>
    </row>
    <row r="600" spans="1:55" ht="12.95" customHeight="1">
      <c r="A600" s="22"/>
      <c r="T600" s="22"/>
      <c r="BB600" s="3"/>
      <c r="BC600" s="3"/>
    </row>
    <row r="601" spans="1:55" ht="12.95" customHeight="1">
      <c r="A601" s="55" t="s">
        <v>461</v>
      </c>
      <c r="B601" t="s">
        <v>463</v>
      </c>
      <c r="G601" s="1385">
        <f>C562</f>
        <v>0</v>
      </c>
      <c r="H601" s="1385"/>
      <c r="I601" s="1385"/>
      <c r="J601" s="1385"/>
      <c r="K601" s="1385"/>
      <c r="L601" s="1385"/>
      <c r="M601" s="1385"/>
      <c r="N601" s="1385"/>
      <c r="O601" s="1385"/>
      <c r="P601" s="1385"/>
      <c r="Q601" s="1385"/>
      <c r="R601" s="1385"/>
      <c r="T601" s="55" t="s">
        <v>646</v>
      </c>
      <c r="U601" t="s">
        <v>463</v>
      </c>
      <c r="Z601" s="1385">
        <f>C563</f>
        <v>0</v>
      </c>
      <c r="AA601" s="1385"/>
      <c r="AB601" s="1385"/>
      <c r="AC601" s="1385"/>
      <c r="AD601" s="1385"/>
      <c r="AE601" s="1385"/>
      <c r="AF601" s="1385"/>
      <c r="AG601" s="1385"/>
      <c r="AH601" s="1385"/>
      <c r="AI601" s="1385"/>
      <c r="AJ601" s="1385"/>
      <c r="AK601" s="1385"/>
      <c r="BB601" s="3"/>
      <c r="BC601" s="3"/>
    </row>
    <row r="602" spans="1:55" ht="12.95" customHeight="1">
      <c r="A602" s="22"/>
      <c r="B602" t="s">
        <v>85</v>
      </c>
      <c r="G602" s="1339"/>
      <c r="H602" s="1339"/>
      <c r="I602" s="1339"/>
      <c r="J602" s="1339"/>
      <c r="K602" s="1339"/>
      <c r="L602" s="1339"/>
      <c r="M602" s="1339"/>
      <c r="N602" s="1339"/>
      <c r="O602" s="1339"/>
      <c r="P602" s="1339"/>
      <c r="Q602" s="1339"/>
      <c r="R602" s="1339"/>
      <c r="T602" s="22"/>
      <c r="U602" t="s">
        <v>85</v>
      </c>
      <c r="Z602" s="1339"/>
      <c r="AA602" s="1339"/>
      <c r="AB602" s="1339"/>
      <c r="AC602" s="1339"/>
      <c r="AD602" s="1339"/>
      <c r="AE602" s="1339"/>
      <c r="AF602" s="1339"/>
      <c r="AG602" s="1339"/>
      <c r="AH602" s="1339"/>
      <c r="AI602" s="1339"/>
      <c r="AJ602" s="1339"/>
      <c r="AK602" s="1339"/>
      <c r="AZ602" s="3"/>
      <c r="BA602" s="3"/>
      <c r="BB602" s="3"/>
      <c r="BC602" s="3"/>
    </row>
    <row r="603" spans="1:55" ht="12.95" customHeight="1">
      <c r="A603" s="22"/>
      <c r="B603" t="s">
        <v>580</v>
      </c>
      <c r="G603" s="1339"/>
      <c r="H603" s="1339"/>
      <c r="I603" s="1339"/>
      <c r="J603" s="1339"/>
      <c r="K603" s="1339"/>
      <c r="L603" s="1339"/>
      <c r="M603" s="1339"/>
      <c r="N603" s="1339"/>
      <c r="O603" s="1339"/>
      <c r="P603" s="1339"/>
      <c r="Q603" s="1339"/>
      <c r="R603" s="1339"/>
      <c r="T603" s="22"/>
      <c r="U603" t="s">
        <v>580</v>
      </c>
      <c r="Z603" s="1656"/>
      <c r="AA603" s="1656"/>
      <c r="AB603" s="1656"/>
      <c r="AC603" s="1656"/>
      <c r="AD603" s="1656"/>
      <c r="AE603" s="1656"/>
      <c r="AF603" s="1656"/>
      <c r="AG603" s="1656"/>
      <c r="AH603" s="1656"/>
      <c r="AI603" s="1656"/>
      <c r="AJ603" s="1656"/>
      <c r="AK603" s="1656"/>
      <c r="AZ603" s="3"/>
      <c r="BA603" s="3"/>
      <c r="BB603" s="3"/>
      <c r="BC603" s="3"/>
    </row>
    <row r="604" spans="1:55" ht="12.95" customHeight="1">
      <c r="A604" s="22"/>
      <c r="B604" t="s">
        <v>17</v>
      </c>
      <c r="G604" s="1339"/>
      <c r="H604" s="1339"/>
      <c r="I604" s="1339"/>
      <c r="J604" s="1339"/>
      <c r="K604" s="1339"/>
      <c r="L604" s="1339"/>
      <c r="M604" s="1339"/>
      <c r="N604" s="1339"/>
      <c r="O604" s="1339"/>
      <c r="P604" s="1339"/>
      <c r="Q604" s="1339"/>
      <c r="R604" s="1339"/>
      <c r="T604" s="22"/>
      <c r="U604" t="s">
        <v>17</v>
      </c>
      <c r="Z604" s="1656"/>
      <c r="AA604" s="1656"/>
      <c r="AB604" s="1656"/>
      <c r="AC604" s="1656"/>
      <c r="AD604" s="1656"/>
      <c r="AE604" s="1656"/>
      <c r="AF604" s="1656"/>
      <c r="AG604" s="1656"/>
      <c r="AH604" s="1656"/>
      <c r="AI604" s="1656"/>
      <c r="AJ604" s="1656"/>
      <c r="AK604" s="1656"/>
      <c r="AZ604" s="3"/>
      <c r="BA604" s="3"/>
      <c r="BB604" s="3"/>
      <c r="BC604" s="3"/>
    </row>
    <row r="605" spans="1:55" s="4" customFormat="1" ht="12.95" customHeight="1">
      <c r="A605" s="22"/>
      <c r="B605" t="s">
        <v>316</v>
      </c>
      <c r="C605"/>
      <c r="D605"/>
      <c r="E605"/>
      <c r="F605"/>
      <c r="G605" s="1410"/>
      <c r="H605" s="1410"/>
      <c r="I605" s="1410"/>
      <c r="J605" s="1410"/>
      <c r="K605" s="1410"/>
      <c r="L605" s="1410"/>
      <c r="M605"/>
      <c r="N605"/>
      <c r="O605" s="33" t="s">
        <v>206</v>
      </c>
      <c r="P605" s="1441"/>
      <c r="Q605" s="1441"/>
      <c r="R605" s="1441"/>
      <c r="S605"/>
      <c r="T605" s="22"/>
      <c r="U605" t="s">
        <v>316</v>
      </c>
      <c r="V605"/>
      <c r="W605"/>
      <c r="X605"/>
      <c r="Y605"/>
      <c r="Z605" s="1410"/>
      <c r="AA605" s="1410"/>
      <c r="AB605" s="1410"/>
      <c r="AC605" s="1410"/>
      <c r="AD605" s="1410"/>
      <c r="AE605" s="1410"/>
      <c r="AF605"/>
      <c r="AG605"/>
      <c r="AH605" s="33" t="s">
        <v>206</v>
      </c>
      <c r="AI605" s="1441"/>
      <c r="AJ605" s="1441"/>
      <c r="AK605" s="1441"/>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39"/>
      <c r="I606" s="1339"/>
      <c r="J606" s="1339"/>
      <c r="K606" s="1339"/>
      <c r="L606" s="1339"/>
      <c r="M606" s="1339"/>
      <c r="N606" s="1339"/>
      <c r="O606" s="1339"/>
      <c r="P606" s="1339"/>
      <c r="Q606" s="1339"/>
      <c r="R606" s="1339"/>
      <c r="S606"/>
      <c r="T606" s="22"/>
      <c r="U606" t="s">
        <v>18</v>
      </c>
      <c r="V606"/>
      <c r="W606"/>
      <c r="X606"/>
      <c r="Y606"/>
      <c r="Z606"/>
      <c r="AA606" s="1339"/>
      <c r="AB606" s="1339"/>
      <c r="AC606" s="1339"/>
      <c r="AD606" s="1339"/>
      <c r="AE606" s="1339"/>
      <c r="AF606" s="1339"/>
      <c r="AG606" s="1339"/>
      <c r="AH606" s="1339"/>
      <c r="AI606" s="1339"/>
      <c r="AJ606" s="1339"/>
      <c r="AK606" s="1339"/>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1" t="s">
        <v>669</v>
      </c>
      <c r="O607" s="1331"/>
      <c r="P607"/>
      <c r="Q607"/>
      <c r="R607"/>
      <c r="S607"/>
      <c r="T607" s="22"/>
      <c r="U607" t="s">
        <v>20</v>
      </c>
      <c r="V607"/>
      <c r="W607"/>
      <c r="X607"/>
      <c r="Y607"/>
      <c r="Z607"/>
      <c r="AA607"/>
      <c r="AB607"/>
      <c r="AC607"/>
      <c r="AD607"/>
      <c r="AE607"/>
      <c r="AF607"/>
      <c r="AG607" s="1331" t="s">
        <v>669</v>
      </c>
      <c r="AH607" s="1331"/>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463</v>
      </c>
      <c r="G609" s="1385">
        <f>C564</f>
        <v>0</v>
      </c>
      <c r="H609" s="1385"/>
      <c r="I609" s="1385"/>
      <c r="J609" s="1385"/>
      <c r="K609" s="1385"/>
      <c r="L609" s="1385"/>
      <c r="M609" s="1385"/>
      <c r="N609" s="1385"/>
      <c r="O609" s="1385"/>
      <c r="P609" s="1385"/>
      <c r="Q609" s="1385"/>
      <c r="R609" s="1385"/>
      <c r="T609" s="55" t="s">
        <v>363</v>
      </c>
      <c r="U609" t="s">
        <v>463</v>
      </c>
      <c r="Z609" s="1385">
        <f>C565</f>
        <v>0</v>
      </c>
      <c r="AA609" s="1385"/>
      <c r="AB609" s="1385"/>
      <c r="AC609" s="1385"/>
      <c r="AD609" s="1385"/>
      <c r="AE609" s="1385"/>
      <c r="AF609" s="1385"/>
      <c r="AG609" s="1385"/>
      <c r="AH609" s="1385"/>
      <c r="AI609" s="1385"/>
      <c r="AJ609" s="1385"/>
      <c r="AK609" s="1385"/>
      <c r="AZ609" s="3"/>
      <c r="BA609" s="3"/>
      <c r="BB609" s="3"/>
      <c r="BC609" s="3"/>
    </row>
    <row r="610" spans="1:55" ht="12.95" customHeight="1">
      <c r="B610" t="s">
        <v>85</v>
      </c>
      <c r="G610" s="1339"/>
      <c r="H610" s="1339"/>
      <c r="I610" s="1339"/>
      <c r="J610" s="1339"/>
      <c r="K610" s="1339"/>
      <c r="L610" s="1339"/>
      <c r="M610" s="1339"/>
      <c r="N610" s="1339"/>
      <c r="O610" s="1339"/>
      <c r="P610" s="1339"/>
      <c r="Q610" s="1339"/>
      <c r="R610" s="1339"/>
      <c r="U610" t="s">
        <v>85</v>
      </c>
      <c r="Z610" s="1339"/>
      <c r="AA610" s="1339"/>
      <c r="AB610" s="1339"/>
      <c r="AC610" s="1339"/>
      <c r="AD610" s="1339"/>
      <c r="AE610" s="1339"/>
      <c r="AF610" s="1339"/>
      <c r="AG610" s="1339"/>
      <c r="AH610" s="1339"/>
      <c r="AI610" s="1339"/>
      <c r="AJ610" s="1339"/>
      <c r="AK610" s="1339"/>
      <c r="AZ610" s="3"/>
      <c r="BA610" s="3"/>
      <c r="BB610" s="3"/>
      <c r="BC610" s="3"/>
    </row>
    <row r="611" spans="1:55" ht="12.95" customHeight="1">
      <c r="B611" t="s">
        <v>580</v>
      </c>
      <c r="G611" s="1339"/>
      <c r="H611" s="1339"/>
      <c r="I611" s="1339"/>
      <c r="J611" s="1339"/>
      <c r="K611" s="1339"/>
      <c r="L611" s="1339"/>
      <c r="M611" s="1339"/>
      <c r="N611" s="1339"/>
      <c r="O611" s="1339"/>
      <c r="P611" s="1339"/>
      <c r="Q611" s="1339"/>
      <c r="R611" s="1339"/>
      <c r="U611" t="s">
        <v>580</v>
      </c>
      <c r="Z611" s="1656"/>
      <c r="AA611" s="1656"/>
      <c r="AB611" s="1656"/>
      <c r="AC611" s="1656"/>
      <c r="AD611" s="1656"/>
      <c r="AE611" s="1656"/>
      <c r="AF611" s="1656"/>
      <c r="AG611" s="1656"/>
      <c r="AH611" s="1656"/>
      <c r="AI611" s="1656"/>
      <c r="AJ611" s="1656"/>
      <c r="AK611" s="1656"/>
      <c r="AZ611" s="3"/>
      <c r="BA611" s="3"/>
      <c r="BB611" s="3"/>
      <c r="BC611" s="3"/>
    </row>
    <row r="612" spans="1:55" ht="12.95" customHeight="1">
      <c r="B612" t="s">
        <v>17</v>
      </c>
      <c r="G612" s="1339"/>
      <c r="H612" s="1339"/>
      <c r="I612" s="1339"/>
      <c r="J612" s="1339"/>
      <c r="K612" s="1339"/>
      <c r="L612" s="1339"/>
      <c r="M612" s="1339"/>
      <c r="N612" s="1339"/>
      <c r="O612" s="1339"/>
      <c r="P612" s="1339"/>
      <c r="Q612" s="1339"/>
      <c r="R612" s="1339"/>
      <c r="U612" t="s">
        <v>17</v>
      </c>
      <c r="Z612" s="1656"/>
      <c r="AA612" s="1656"/>
      <c r="AB612" s="1656"/>
      <c r="AC612" s="1656"/>
      <c r="AD612" s="1656"/>
      <c r="AE612" s="1656"/>
      <c r="AF612" s="1656"/>
      <c r="AG612" s="1656"/>
      <c r="AH612" s="1656"/>
      <c r="AI612" s="1656"/>
      <c r="AJ612" s="1656"/>
      <c r="AK612" s="1656"/>
      <c r="AZ612" s="3"/>
      <c r="BA612" s="3"/>
      <c r="BB612" s="3"/>
      <c r="BC612" s="3"/>
    </row>
    <row r="613" spans="1:55" ht="12.95" customHeight="1">
      <c r="B613" t="s">
        <v>316</v>
      </c>
      <c r="G613" s="1410"/>
      <c r="H613" s="1410"/>
      <c r="I613" s="1410"/>
      <c r="J613" s="1410"/>
      <c r="K613" s="1410"/>
      <c r="L613" s="1410"/>
      <c r="O613" s="33" t="s">
        <v>206</v>
      </c>
      <c r="P613" s="1441"/>
      <c r="Q613" s="1441"/>
      <c r="R613" s="1441"/>
      <c r="U613" t="s">
        <v>316</v>
      </c>
      <c r="Z613" s="1410"/>
      <c r="AA613" s="1410"/>
      <c r="AB613" s="1410"/>
      <c r="AC613" s="1410"/>
      <c r="AD613" s="1410"/>
      <c r="AE613" s="1410"/>
      <c r="AH613" s="33" t="s">
        <v>206</v>
      </c>
      <c r="AI613" s="1441"/>
      <c r="AJ613" s="1441"/>
      <c r="AK613" s="1441"/>
      <c r="AZ613" s="3"/>
      <c r="BA613" s="3"/>
      <c r="BB613" s="3"/>
      <c r="BC613" s="3"/>
    </row>
    <row r="614" spans="1:55" ht="12.95" customHeight="1">
      <c r="B614" t="s">
        <v>18</v>
      </c>
      <c r="H614" s="1339"/>
      <c r="I614" s="1339"/>
      <c r="J614" s="1339"/>
      <c r="K614" s="1339"/>
      <c r="L614" s="1339"/>
      <c r="M614" s="1339"/>
      <c r="N614" s="1339"/>
      <c r="O614" s="1339"/>
      <c r="P614" s="1339"/>
      <c r="Q614" s="1339"/>
      <c r="R614" s="1339"/>
      <c r="U614" t="s">
        <v>18</v>
      </c>
      <c r="AA614" s="1339"/>
      <c r="AB614" s="1339"/>
      <c r="AC614" s="1339"/>
      <c r="AD614" s="1339"/>
      <c r="AE614" s="1339"/>
      <c r="AF614" s="1339"/>
      <c r="AG614" s="1339"/>
      <c r="AH614" s="1339"/>
      <c r="AI614" s="1339"/>
      <c r="AJ614" s="1339"/>
      <c r="AK614" s="1339"/>
      <c r="AU614" s="899"/>
      <c r="AV614" s="899"/>
      <c r="AW614" s="899"/>
      <c r="AX614" s="899"/>
      <c r="AY614" s="899"/>
      <c r="AZ614" s="3"/>
      <c r="BA614" s="3"/>
      <c r="BB614" s="3"/>
      <c r="BC614" s="3"/>
    </row>
    <row r="615" spans="1:55" ht="12.95" customHeight="1">
      <c r="B615" t="s">
        <v>20</v>
      </c>
      <c r="N615" s="1331" t="s">
        <v>669</v>
      </c>
      <c r="O615" s="1331"/>
      <c r="U615" t="s">
        <v>20</v>
      </c>
      <c r="AG615" s="1331" t="s">
        <v>669</v>
      </c>
      <c r="AH615" s="1331"/>
      <c r="AU615" s="899"/>
      <c r="AV615" s="899"/>
      <c r="AW615" s="899"/>
      <c r="AX615" s="899"/>
      <c r="AY615" s="899"/>
      <c r="AZ615" s="3"/>
      <c r="BA615" s="3"/>
      <c r="BB615" s="3"/>
      <c r="BC615" s="3"/>
    </row>
    <row r="616" spans="1:55" ht="12.95" customHeight="1">
      <c r="AZ616" s="3"/>
      <c r="BA616" s="3"/>
      <c r="BB616" s="3"/>
      <c r="BC616" s="3"/>
    </row>
    <row r="617" spans="1:55" ht="12.95" customHeight="1">
      <c r="A617" s="1259" t="s">
        <v>544</v>
      </c>
      <c r="B617" s="1259"/>
      <c r="C617" s="1259"/>
      <c r="D617" s="1259"/>
      <c r="E617" s="1259"/>
      <c r="F617" s="1259"/>
      <c r="G617" s="1259"/>
      <c r="H617" s="1259"/>
      <c r="I617" s="1259"/>
      <c r="J617" s="1259"/>
      <c r="K617" s="1259"/>
      <c r="L617" s="1259"/>
      <c r="M617" s="1259"/>
      <c r="N617" s="1259"/>
      <c r="O617" s="1259"/>
      <c r="P617" s="1259"/>
      <c r="Q617" s="1259"/>
      <c r="R617" s="1259"/>
      <c r="S617" s="1259"/>
      <c r="T617" s="1259"/>
      <c r="U617" s="1259"/>
      <c r="V617" s="1259"/>
      <c r="W617" s="1259"/>
      <c r="X617" s="1259"/>
      <c r="Y617" s="1259"/>
      <c r="Z617" s="1259"/>
      <c r="AA617" s="1259"/>
      <c r="AB617" s="1259"/>
      <c r="AC617" s="1259"/>
      <c r="AD617" s="1259"/>
      <c r="AE617" s="1259"/>
      <c r="AF617" s="1259"/>
      <c r="AG617" s="1259"/>
      <c r="AH617" s="1259"/>
      <c r="AI617" s="1259"/>
      <c r="AJ617" s="1259"/>
      <c r="AK617" s="1259"/>
      <c r="AL617" s="1259"/>
      <c r="AM617" s="1259"/>
      <c r="AN617" s="1259"/>
      <c r="AO617" s="1259"/>
      <c r="AP617" s="1259"/>
      <c r="AQ617" s="1259"/>
      <c r="AR617" s="1259"/>
      <c r="AS617" s="1259"/>
      <c r="AT617" s="1259"/>
      <c r="AZ617" s="3"/>
      <c r="BA617" s="3"/>
      <c r="BB617" s="3"/>
      <c r="BC617" s="3"/>
    </row>
    <row r="618" spans="1:55" ht="12.95" customHeight="1">
      <c r="A618" s="1259"/>
      <c r="B618" s="1259"/>
      <c r="C618" s="1259"/>
      <c r="D618" s="1259"/>
      <c r="E618" s="1259"/>
      <c r="F618" s="1259"/>
      <c r="G618" s="1259"/>
      <c r="H618" s="1259"/>
      <c r="I618" s="1259"/>
      <c r="J618" s="1259"/>
      <c r="K618" s="1259"/>
      <c r="L618" s="1259"/>
      <c r="M618" s="1259"/>
      <c r="N618" s="1259"/>
      <c r="O618" s="1259"/>
      <c r="P618" s="1259"/>
      <c r="Q618" s="1259"/>
      <c r="R618" s="1259"/>
      <c r="S618" s="1259"/>
      <c r="T618" s="1259"/>
      <c r="U618" s="1259"/>
      <c r="V618" s="1259"/>
      <c r="W618" s="1259"/>
      <c r="X618" s="1259"/>
      <c r="Y618" s="1259"/>
      <c r="Z618" s="1259"/>
      <c r="AA618" s="1259"/>
      <c r="AB618" s="1259"/>
      <c r="AC618" s="1259"/>
      <c r="AD618" s="1259"/>
      <c r="AE618" s="1259"/>
      <c r="AF618" s="1259"/>
      <c r="AG618" s="1259"/>
      <c r="AH618" s="1259"/>
      <c r="AI618" s="1259"/>
      <c r="AJ618" s="1259"/>
      <c r="AK618" s="1259"/>
      <c r="AL618" s="1259"/>
      <c r="AM618" s="1259"/>
      <c r="AN618" s="1259"/>
      <c r="AO618" s="1259"/>
      <c r="AP618" s="1259"/>
      <c r="AQ618" s="1259"/>
      <c r="AR618" s="1259"/>
      <c r="AS618" s="1259"/>
      <c r="AT618" s="1259"/>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2100</v>
      </c>
      <c r="AZ622" s="3"/>
      <c r="BA622" s="3"/>
      <c r="BB622" s="3"/>
      <c r="BC622" s="3"/>
    </row>
    <row r="623" spans="1:55" ht="12.95" customHeight="1">
      <c r="B623" s="512"/>
      <c r="C623" s="2"/>
      <c r="AU623" s="3"/>
      <c r="AZ623" s="3"/>
      <c r="BA623" s="3"/>
      <c r="BB623" s="3"/>
      <c r="BC623" s="3"/>
    </row>
    <row r="624" spans="1:55" ht="12.95" customHeight="1">
      <c r="B624" s="1851" t="s">
        <v>2102</v>
      </c>
      <c r="C624" s="1851"/>
      <c r="D624" s="1851"/>
      <c r="E624" s="1851"/>
      <c r="F624" s="1851"/>
      <c r="G624" s="1851"/>
      <c r="H624" s="1851"/>
      <c r="I624" s="1851"/>
      <c r="J624" s="1851"/>
      <c r="K624" s="1851"/>
      <c r="L624" s="1851"/>
      <c r="M624" s="1446" t="s">
        <v>2103</v>
      </c>
      <c r="N624" s="1446"/>
      <c r="O624" s="1446"/>
      <c r="P624" s="1446"/>
      <c r="Q624" s="1446" t="s">
        <v>1852</v>
      </c>
      <c r="R624" s="1446"/>
      <c r="S624" s="1446"/>
      <c r="T624" s="1446" t="s">
        <v>1850</v>
      </c>
      <c r="U624" s="1446"/>
      <c r="V624" s="1446"/>
      <c r="W624" s="1682" t="s">
        <v>453</v>
      </c>
      <c r="X624" s="1682"/>
      <c r="Y624" s="1682"/>
      <c r="Z624" s="1435" t="s">
        <v>2132</v>
      </c>
      <c r="AA624" s="1435"/>
      <c r="AB624" s="1436"/>
      <c r="AC624" s="1683" t="s">
        <v>1675</v>
      </c>
      <c r="AD624" s="1684"/>
      <c r="AE624" s="1685"/>
      <c r="AF624" s="1692" t="s">
        <v>1930</v>
      </c>
      <c r="AG624" s="1435"/>
      <c r="AH624" s="1435"/>
      <c r="AI624" s="1435"/>
      <c r="AJ624" s="1436"/>
      <c r="AK624" s="1664" t="s">
        <v>1931</v>
      </c>
      <c r="AL624" s="1665"/>
      <c r="AM624" s="1665"/>
      <c r="AN624" s="1666"/>
      <c r="AO624" s="1446" t="s">
        <v>454</v>
      </c>
      <c r="AP624" s="1446"/>
      <c r="AQ624" s="1446"/>
      <c r="AR624" s="1446"/>
      <c r="AS624" s="1446"/>
      <c r="AU624" s="3"/>
      <c r="AZ624" s="3"/>
      <c r="BA624" s="3"/>
      <c r="BB624" s="3"/>
      <c r="BC624" s="3"/>
    </row>
    <row r="625" spans="2:157" ht="12.95" customHeight="1">
      <c r="B625" s="1851"/>
      <c r="C625" s="1851"/>
      <c r="D625" s="1851"/>
      <c r="E625" s="1851"/>
      <c r="F625" s="1851"/>
      <c r="G625" s="1851"/>
      <c r="H625" s="1851"/>
      <c r="I625" s="1851"/>
      <c r="J625" s="1851"/>
      <c r="K625" s="1851"/>
      <c r="L625" s="1851"/>
      <c r="M625" s="1446"/>
      <c r="N625" s="1446"/>
      <c r="O625" s="1446"/>
      <c r="P625" s="1446"/>
      <c r="Q625" s="1446"/>
      <c r="R625" s="1446"/>
      <c r="S625" s="1446"/>
      <c r="T625" s="1446"/>
      <c r="U625" s="1446"/>
      <c r="V625" s="1446"/>
      <c r="W625" s="1682"/>
      <c r="X625" s="1682"/>
      <c r="Y625" s="1682"/>
      <c r="Z625" s="1437"/>
      <c r="AA625" s="1437"/>
      <c r="AB625" s="1438"/>
      <c r="AC625" s="1686"/>
      <c r="AD625" s="1687"/>
      <c r="AE625" s="1688"/>
      <c r="AF625" s="1693"/>
      <c r="AG625" s="1437"/>
      <c r="AH625" s="1437"/>
      <c r="AI625" s="1437"/>
      <c r="AJ625" s="1438"/>
      <c r="AK625" s="1667"/>
      <c r="AL625" s="1668"/>
      <c r="AM625" s="1668"/>
      <c r="AN625" s="1669"/>
      <c r="AO625" s="1446"/>
      <c r="AP625" s="1446"/>
      <c r="AQ625" s="1446"/>
      <c r="AR625" s="1446"/>
      <c r="AS625" s="1446"/>
      <c r="AU625" s="3"/>
      <c r="AZ625" s="3"/>
      <c r="BA625" s="3"/>
      <c r="BB625" s="3"/>
      <c r="BC625" s="3"/>
      <c r="BD625" s="3"/>
    </row>
    <row r="626" spans="2:157" ht="12.95" customHeight="1">
      <c r="B626" s="1851"/>
      <c r="C626" s="1851"/>
      <c r="D626" s="1851"/>
      <c r="E626" s="1851"/>
      <c r="F626" s="1851"/>
      <c r="G626" s="1851"/>
      <c r="H626" s="1851"/>
      <c r="I626" s="1851"/>
      <c r="J626" s="1851"/>
      <c r="K626" s="1851"/>
      <c r="L626" s="1851"/>
      <c r="M626" s="1446"/>
      <c r="N626" s="1446"/>
      <c r="O626" s="1446"/>
      <c r="P626" s="1446"/>
      <c r="Q626" s="1446"/>
      <c r="R626" s="1446"/>
      <c r="S626" s="1446"/>
      <c r="T626" s="1446"/>
      <c r="U626" s="1446"/>
      <c r="V626" s="1446"/>
      <c r="W626" s="1682"/>
      <c r="X626" s="1682"/>
      <c r="Y626" s="1682"/>
      <c r="Z626" s="1439"/>
      <c r="AA626" s="1439"/>
      <c r="AB626" s="1440"/>
      <c r="AC626" s="1689"/>
      <c r="AD626" s="1690"/>
      <c r="AE626" s="1691"/>
      <c r="AF626" s="1694"/>
      <c r="AG626" s="1439"/>
      <c r="AH626" s="1439"/>
      <c r="AI626" s="1439"/>
      <c r="AJ626" s="1440"/>
      <c r="AK626" s="1670"/>
      <c r="AL626" s="1671"/>
      <c r="AM626" s="1671"/>
      <c r="AN626" s="1672"/>
      <c r="AO626" s="1446"/>
      <c r="AP626" s="1446"/>
      <c r="AQ626" s="1446"/>
      <c r="AR626" s="1446"/>
      <c r="AS626" s="1446"/>
      <c r="AT626" s="3"/>
      <c r="AU626" s="3"/>
      <c r="AZ626" s="3"/>
      <c r="BA626" s="3"/>
      <c r="BB626" s="3"/>
      <c r="BC626" s="3"/>
      <c r="BD626" s="3"/>
    </row>
    <row r="627" spans="2:157" ht="12.95" customHeight="1">
      <c r="B627" s="51" t="s">
        <v>112</v>
      </c>
      <c r="C627" s="1679" t="s">
        <v>2732</v>
      </c>
      <c r="D627" s="1679"/>
      <c r="E627" s="1679"/>
      <c r="F627" s="1679"/>
      <c r="G627" s="1679"/>
      <c r="H627" s="1679"/>
      <c r="I627" s="1679"/>
      <c r="J627" s="1679"/>
      <c r="K627" s="1679"/>
      <c r="L627" s="1679"/>
      <c r="M627" s="1600" t="s">
        <v>2119</v>
      </c>
      <c r="N627" s="1600"/>
      <c r="O627" s="1600"/>
      <c r="P627" s="1600"/>
      <c r="Q627" s="1433">
        <v>180</v>
      </c>
      <c r="R627" s="1433"/>
      <c r="S627" s="1434"/>
      <c r="T627" s="1432">
        <v>480</v>
      </c>
      <c r="U627" s="1433"/>
      <c r="V627" s="1434"/>
      <c r="W627" s="1442">
        <v>6.1899999999999997E-2</v>
      </c>
      <c r="X627" s="1443"/>
      <c r="Y627" s="1444"/>
      <c r="Z627" s="1470" t="s">
        <v>2131</v>
      </c>
      <c r="AA627" s="1471"/>
      <c r="AB627" s="1472"/>
      <c r="AC627" s="1601">
        <v>1</v>
      </c>
      <c r="AD627" s="1602"/>
      <c r="AE627" s="1603"/>
      <c r="AF627" s="1467">
        <v>4324032.3774600038</v>
      </c>
      <c r="AG627" s="1468"/>
      <c r="AH627" s="1468"/>
      <c r="AI627" s="1468"/>
      <c r="AJ627" s="1469"/>
      <c r="AK627" s="1427"/>
      <c r="AL627" s="1428"/>
      <c r="AM627" s="1428"/>
      <c r="AN627" s="1429"/>
      <c r="AO627" s="1473">
        <v>63944289</v>
      </c>
      <c r="AP627" s="1473"/>
      <c r="AQ627" s="1473"/>
      <c r="AR627" s="1473"/>
      <c r="AS627" s="1473"/>
      <c r="AT627" s="3"/>
      <c r="AU627" s="3"/>
      <c r="AZ627" s="3"/>
      <c r="BA627" s="3"/>
      <c r="BB627" s="3"/>
      <c r="BC627" s="3"/>
      <c r="BD627" s="3"/>
    </row>
    <row r="628" spans="2:157" ht="12.95" customHeight="1">
      <c r="B628" s="52" t="s">
        <v>113</v>
      </c>
      <c r="C628" s="1679" t="s">
        <v>2321</v>
      </c>
      <c r="D628" s="1679"/>
      <c r="E628" s="1679"/>
      <c r="F628" s="1679"/>
      <c r="G628" s="1679"/>
      <c r="H628" s="1679"/>
      <c r="I628" s="1679"/>
      <c r="J628" s="1679"/>
      <c r="K628" s="1679"/>
      <c r="L628" s="1679"/>
      <c r="M628" s="1600" t="s">
        <v>2106</v>
      </c>
      <c r="N628" s="1600"/>
      <c r="O628" s="1600"/>
      <c r="P628" s="1600"/>
      <c r="Q628" s="1432"/>
      <c r="R628" s="1433"/>
      <c r="S628" s="1434"/>
      <c r="T628" s="1432"/>
      <c r="U628" s="1433"/>
      <c r="V628" s="1434"/>
      <c r="W628" s="1442"/>
      <c r="X628" s="1443"/>
      <c r="Y628" s="1444"/>
      <c r="Z628" s="1470" t="s">
        <v>458</v>
      </c>
      <c r="AA628" s="1471"/>
      <c r="AB628" s="1472"/>
      <c r="AC628" s="1601"/>
      <c r="AD628" s="1602"/>
      <c r="AE628" s="1603"/>
      <c r="AF628" s="1467"/>
      <c r="AG628" s="1468"/>
      <c r="AH628" s="1468"/>
      <c r="AI628" s="1468"/>
      <c r="AJ628" s="1469"/>
      <c r="AK628" s="1427"/>
      <c r="AL628" s="1428"/>
      <c r="AM628" s="1428"/>
      <c r="AN628" s="1429"/>
      <c r="AO628" s="1447">
        <v>9278447</v>
      </c>
      <c r="AP628" s="1448"/>
      <c r="AQ628" s="1448"/>
      <c r="AR628" s="1448"/>
      <c r="AS628" s="1449"/>
      <c r="AT628" s="1147" t="str">
        <f>IF(AND(NOT(C627=""),C628="",NOT(C629="")),"!","")</f>
        <v/>
      </c>
      <c r="AU628" s="3"/>
      <c r="AZ628" s="3"/>
      <c r="BA628" s="3"/>
      <c r="BB628" s="3"/>
      <c r="BC628" s="3"/>
      <c r="BD628" s="3"/>
    </row>
    <row r="629" spans="2:157" ht="12.95" customHeight="1">
      <c r="B629" s="52" t="s">
        <v>119</v>
      </c>
      <c r="C629" s="1679"/>
      <c r="D629" s="1679"/>
      <c r="E629" s="1679"/>
      <c r="F629" s="1679"/>
      <c r="G629" s="1679"/>
      <c r="H629" s="1679"/>
      <c r="I629" s="1679"/>
      <c r="J629" s="1679"/>
      <c r="K629" s="1679"/>
      <c r="L629" s="1679"/>
      <c r="M629" s="1600" t="s">
        <v>1183</v>
      </c>
      <c r="N629" s="1600"/>
      <c r="O629" s="1600"/>
      <c r="P629" s="1600"/>
      <c r="Q629" s="1432"/>
      <c r="R629" s="1433"/>
      <c r="S629" s="1434"/>
      <c r="T629" s="1432"/>
      <c r="U629" s="1433"/>
      <c r="V629" s="1434"/>
      <c r="W629" s="1442"/>
      <c r="X629" s="1443"/>
      <c r="Y629" s="1444"/>
      <c r="Z629" s="1470" t="s">
        <v>1183</v>
      </c>
      <c r="AA629" s="1471"/>
      <c r="AB629" s="1472"/>
      <c r="AC629" s="1601"/>
      <c r="AD629" s="1602"/>
      <c r="AE629" s="1603"/>
      <c r="AF629" s="1467"/>
      <c r="AG629" s="1468"/>
      <c r="AH629" s="1468"/>
      <c r="AI629" s="1468"/>
      <c r="AJ629" s="1469"/>
      <c r="AK629" s="1427"/>
      <c r="AL629" s="1428"/>
      <c r="AM629" s="1428"/>
      <c r="AN629" s="1429"/>
      <c r="AO629" s="1447"/>
      <c r="AP629" s="1448"/>
      <c r="AQ629" s="1448"/>
      <c r="AR629" s="1448"/>
      <c r="AS629" s="1449"/>
      <c r="AT629" s="1147" t="str">
        <f t="shared" ref="AT629:AT638" si="1">IF(AND(NOT(C628=""),C629="",NOT(C630="")),"!","")</f>
        <v/>
      </c>
      <c r="AU629" s="3"/>
      <c r="AZ629" s="3"/>
      <c r="BA629" s="3"/>
      <c r="BB629" s="3"/>
      <c r="BC629" s="3"/>
      <c r="BD629" s="3"/>
    </row>
    <row r="630" spans="2:157" ht="12.95" customHeight="1">
      <c r="B630" s="52" t="s">
        <v>581</v>
      </c>
      <c r="C630" s="1679"/>
      <c r="D630" s="1411"/>
      <c r="E630" s="1411"/>
      <c r="F630" s="1411"/>
      <c r="G630" s="1411"/>
      <c r="H630" s="1411"/>
      <c r="I630" s="1411"/>
      <c r="J630" s="1411"/>
      <c r="K630" s="1411"/>
      <c r="L630" s="1411"/>
      <c r="M630" s="1600" t="s">
        <v>1183</v>
      </c>
      <c r="N630" s="1600"/>
      <c r="O630" s="1600"/>
      <c r="P630" s="1600"/>
      <c r="Q630" s="1432"/>
      <c r="R630" s="1433"/>
      <c r="S630" s="1434"/>
      <c r="T630" s="1432"/>
      <c r="U630" s="1433"/>
      <c r="V630" s="1434"/>
      <c r="W630" s="1442"/>
      <c r="X630" s="1443"/>
      <c r="Y630" s="1444"/>
      <c r="Z630" s="1470" t="s">
        <v>1183</v>
      </c>
      <c r="AA630" s="1471"/>
      <c r="AB630" s="1472"/>
      <c r="AC630" s="1601"/>
      <c r="AD630" s="1602"/>
      <c r="AE630" s="1603"/>
      <c r="AF630" s="1467"/>
      <c r="AG630" s="1468"/>
      <c r="AH630" s="1468"/>
      <c r="AI630" s="1468"/>
      <c r="AJ630" s="1469"/>
      <c r="AK630" s="1427"/>
      <c r="AL630" s="1428"/>
      <c r="AM630" s="1428"/>
      <c r="AN630" s="1429"/>
      <c r="AO630" s="1447"/>
      <c r="AP630" s="1448"/>
      <c r="AQ630" s="1448"/>
      <c r="AR630" s="1448"/>
      <c r="AS630" s="1449"/>
      <c r="AT630" s="1147" t="str">
        <f t="shared" si="1"/>
        <v/>
      </c>
      <c r="AU630" s="3"/>
      <c r="AZ630" s="3"/>
      <c r="BA630" s="3"/>
      <c r="BB630" s="3"/>
      <c r="BC630" s="3"/>
      <c r="BD630" s="3"/>
    </row>
    <row r="631" spans="2:157" ht="12.95" customHeight="1">
      <c r="B631" s="52" t="s">
        <v>763</v>
      </c>
      <c r="C631" s="1411"/>
      <c r="D631" s="1411"/>
      <c r="E631" s="1411"/>
      <c r="F631" s="1411"/>
      <c r="G631" s="1411"/>
      <c r="H631" s="1411"/>
      <c r="I631" s="1411"/>
      <c r="J631" s="1411"/>
      <c r="K631" s="1411"/>
      <c r="L631" s="1411"/>
      <c r="M631" s="1600" t="s">
        <v>1183</v>
      </c>
      <c r="N631" s="1600"/>
      <c r="O631" s="1600"/>
      <c r="P631" s="1600"/>
      <c r="Q631" s="1432"/>
      <c r="R631" s="1433"/>
      <c r="S631" s="1434"/>
      <c r="T631" s="1432"/>
      <c r="U631" s="1433"/>
      <c r="V631" s="1434"/>
      <c r="W631" s="1442"/>
      <c r="X631" s="1443"/>
      <c r="Y631" s="1444"/>
      <c r="Z631" s="1470" t="s">
        <v>1183</v>
      </c>
      <c r="AA631" s="1471"/>
      <c r="AB631" s="1472"/>
      <c r="AC631" s="1601"/>
      <c r="AD631" s="1602"/>
      <c r="AE631" s="1603"/>
      <c r="AF631" s="1467"/>
      <c r="AG631" s="1468"/>
      <c r="AH631" s="1468"/>
      <c r="AI631" s="1468"/>
      <c r="AJ631" s="1469"/>
      <c r="AK631" s="1427"/>
      <c r="AL631" s="1428"/>
      <c r="AM631" s="1428"/>
      <c r="AN631" s="1429"/>
      <c r="AO631" s="1447"/>
      <c r="AP631" s="1448"/>
      <c r="AQ631" s="1448"/>
      <c r="AR631" s="1448"/>
      <c r="AS631" s="1449"/>
      <c r="AT631" s="1147" t="str">
        <f t="shared" si="1"/>
        <v/>
      </c>
      <c r="AU631" s="3"/>
      <c r="AZ631" s="3"/>
      <c r="BA631" s="3"/>
      <c r="BB631" s="3"/>
      <c r="BC631" s="3"/>
      <c r="BD631" s="3"/>
    </row>
    <row r="632" spans="2:157" ht="12.95" customHeight="1">
      <c r="B632" s="52" t="s">
        <v>584</v>
      </c>
      <c r="C632" s="1411"/>
      <c r="D632" s="1411"/>
      <c r="E632" s="1411"/>
      <c r="F632" s="1411"/>
      <c r="G632" s="1411"/>
      <c r="H632" s="1411"/>
      <c r="I632" s="1411"/>
      <c r="J632" s="1411"/>
      <c r="K632" s="1411"/>
      <c r="L632" s="1411"/>
      <c r="M632" s="1600" t="s">
        <v>1183</v>
      </c>
      <c r="N632" s="1600"/>
      <c r="O632" s="1600"/>
      <c r="P632" s="1600"/>
      <c r="Q632" s="1432"/>
      <c r="R632" s="1433"/>
      <c r="S632" s="1434"/>
      <c r="T632" s="1432"/>
      <c r="U632" s="1433"/>
      <c r="V632" s="1434"/>
      <c r="W632" s="1442"/>
      <c r="X632" s="1443"/>
      <c r="Y632" s="1444"/>
      <c r="Z632" s="1470" t="s">
        <v>1183</v>
      </c>
      <c r="AA632" s="1471"/>
      <c r="AB632" s="1472"/>
      <c r="AC632" s="1601"/>
      <c r="AD632" s="1602"/>
      <c r="AE632" s="1603"/>
      <c r="AF632" s="1467"/>
      <c r="AG632" s="1468"/>
      <c r="AH632" s="1468"/>
      <c r="AI632" s="1468"/>
      <c r="AJ632" s="1469"/>
      <c r="AK632" s="1427"/>
      <c r="AL632" s="1428"/>
      <c r="AM632" s="1428"/>
      <c r="AN632" s="1429"/>
      <c r="AO632" s="1447"/>
      <c r="AP632" s="1448"/>
      <c r="AQ632" s="1448"/>
      <c r="AR632" s="1448"/>
      <c r="AS632" s="1449"/>
      <c r="AT632" s="1147" t="str">
        <f t="shared" si="1"/>
        <v/>
      </c>
      <c r="AU632" s="3"/>
      <c r="AZ632" s="3"/>
      <c r="BA632" s="3"/>
      <c r="BB632" s="3"/>
      <c r="BC632" s="3"/>
      <c r="BD632" s="3"/>
    </row>
    <row r="633" spans="2:157" ht="12.95" customHeight="1">
      <c r="B633" s="52" t="s">
        <v>455</v>
      </c>
      <c r="C633" s="1411"/>
      <c r="D633" s="1411"/>
      <c r="E633" s="1411"/>
      <c r="F633" s="1411"/>
      <c r="G633" s="1411"/>
      <c r="H633" s="1411"/>
      <c r="I633" s="1411"/>
      <c r="J633" s="1411"/>
      <c r="K633" s="1411"/>
      <c r="L633" s="1411"/>
      <c r="M633" s="1600" t="s">
        <v>1183</v>
      </c>
      <c r="N633" s="1600"/>
      <c r="O633" s="1600"/>
      <c r="P633" s="1600"/>
      <c r="Q633" s="1432"/>
      <c r="R633" s="1433"/>
      <c r="S633" s="1434"/>
      <c r="T633" s="1432"/>
      <c r="U633" s="1433"/>
      <c r="V633" s="1434"/>
      <c r="W633" s="1442"/>
      <c r="X633" s="1443"/>
      <c r="Y633" s="1444"/>
      <c r="Z633" s="1470" t="s">
        <v>1183</v>
      </c>
      <c r="AA633" s="1471"/>
      <c r="AB633" s="1472"/>
      <c r="AC633" s="1601"/>
      <c r="AD633" s="1602"/>
      <c r="AE633" s="1603"/>
      <c r="AF633" s="1467"/>
      <c r="AG633" s="1468"/>
      <c r="AH633" s="1468"/>
      <c r="AI633" s="1468"/>
      <c r="AJ633" s="1469"/>
      <c r="AK633" s="1427"/>
      <c r="AL633" s="1428"/>
      <c r="AM633" s="1428"/>
      <c r="AN633" s="1429"/>
      <c r="AO633" s="1447"/>
      <c r="AP633" s="1448"/>
      <c r="AQ633" s="1448"/>
      <c r="AR633" s="1448"/>
      <c r="AS633" s="1449"/>
      <c r="AT633" s="1147" t="str">
        <f t="shared" si="1"/>
        <v/>
      </c>
      <c r="AU633" s="3"/>
      <c r="AV633" s="3"/>
      <c r="AW633" s="3"/>
      <c r="AX633" s="3"/>
      <c r="AY633" s="3"/>
      <c r="AZ633" s="3"/>
      <c r="BA633" s="3"/>
      <c r="BB633" s="3"/>
      <c r="BC633" s="3"/>
      <c r="BD633" s="3"/>
    </row>
    <row r="634" spans="2:157" ht="12.95" customHeight="1">
      <c r="B634" s="52" t="s">
        <v>456</v>
      </c>
      <c r="C634" s="1411"/>
      <c r="D634" s="1411"/>
      <c r="E634" s="1411"/>
      <c r="F634" s="1411"/>
      <c r="G634" s="1411"/>
      <c r="H634" s="1411"/>
      <c r="I634" s="1411"/>
      <c r="J634" s="1411"/>
      <c r="K634" s="1411"/>
      <c r="L634" s="1411"/>
      <c r="M634" s="1600" t="s">
        <v>1183</v>
      </c>
      <c r="N634" s="1600"/>
      <c r="O634" s="1600"/>
      <c r="P634" s="1600"/>
      <c r="Q634" s="1432"/>
      <c r="R634" s="1433"/>
      <c r="S634" s="1434"/>
      <c r="T634" s="1432"/>
      <c r="U634" s="1433"/>
      <c r="V634" s="1434"/>
      <c r="W634" s="1442"/>
      <c r="X634" s="1443"/>
      <c r="Y634" s="1444"/>
      <c r="Z634" s="1470" t="s">
        <v>1183</v>
      </c>
      <c r="AA634" s="1471"/>
      <c r="AB634" s="1472"/>
      <c r="AC634" s="1601"/>
      <c r="AD634" s="1602"/>
      <c r="AE634" s="1603"/>
      <c r="AF634" s="1467"/>
      <c r="AG634" s="1468"/>
      <c r="AH634" s="1468"/>
      <c r="AI634" s="1468"/>
      <c r="AJ634" s="1469"/>
      <c r="AK634" s="1427"/>
      <c r="AL634" s="1428"/>
      <c r="AM634" s="1428"/>
      <c r="AN634" s="1429"/>
      <c r="AO634" s="1447"/>
      <c r="AP634" s="1448"/>
      <c r="AQ634" s="1448"/>
      <c r="AR634" s="1448"/>
      <c r="AS634" s="1449"/>
      <c r="AT634" s="1147" t="str">
        <f t="shared" si="1"/>
        <v/>
      </c>
      <c r="AU634" s="3"/>
      <c r="AV634" s="3"/>
      <c r="AW634" s="3"/>
      <c r="AX634" s="3"/>
      <c r="AY634" s="3"/>
      <c r="AZ634" s="3"/>
      <c r="BA634" s="3" t="s">
        <v>1183</v>
      </c>
      <c r="BB634" s="3"/>
      <c r="BC634" s="3"/>
      <c r="BD634" s="3"/>
    </row>
    <row r="635" spans="2:157" ht="12.95" customHeight="1">
      <c r="B635" s="52" t="s">
        <v>461</v>
      </c>
      <c r="C635" s="1411"/>
      <c r="D635" s="1411"/>
      <c r="E635" s="1411"/>
      <c r="F635" s="1411"/>
      <c r="G635" s="1411"/>
      <c r="H635" s="1411"/>
      <c r="I635" s="1411"/>
      <c r="J635" s="1411"/>
      <c r="K635" s="1411"/>
      <c r="L635" s="1411"/>
      <c r="M635" s="1600" t="s">
        <v>1183</v>
      </c>
      <c r="N635" s="1600"/>
      <c r="O635" s="1600"/>
      <c r="P635" s="1600"/>
      <c r="Q635" s="1432"/>
      <c r="R635" s="1433"/>
      <c r="S635" s="1434"/>
      <c r="T635" s="1432"/>
      <c r="U635" s="1433"/>
      <c r="V635" s="1434"/>
      <c r="W635" s="1442"/>
      <c r="X635" s="1443"/>
      <c r="Y635" s="1444"/>
      <c r="Z635" s="1470" t="s">
        <v>1183</v>
      </c>
      <c r="AA635" s="1471"/>
      <c r="AB635" s="1472"/>
      <c r="AC635" s="1601"/>
      <c r="AD635" s="1602"/>
      <c r="AE635" s="1603"/>
      <c r="AF635" s="1467"/>
      <c r="AG635" s="1468"/>
      <c r="AH635" s="1468"/>
      <c r="AI635" s="1468"/>
      <c r="AJ635" s="1469"/>
      <c r="AK635" s="1427"/>
      <c r="AL635" s="1428"/>
      <c r="AM635" s="1428"/>
      <c r="AN635" s="1429"/>
      <c r="AO635" s="1447"/>
      <c r="AP635" s="1448"/>
      <c r="AQ635" s="1448"/>
      <c r="AR635" s="1448"/>
      <c r="AS635" s="1449"/>
      <c r="AT635" s="1147"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51" t="e">
        <f t="shared" ref="DX635:DX669" si="2">EZ718*(CP718/$CP$753)</f>
        <v>#VALUE!</v>
      </c>
      <c r="DY635" s="1451"/>
      <c r="DZ635" s="1451"/>
      <c r="EA635" s="1451"/>
      <c r="EB635" s="1451"/>
      <c r="EC635" s="1451">
        <f t="shared" ref="EC635:EC669" si="3">FE718*(CU718/$CU$753)</f>
        <v>95.30684931506849</v>
      </c>
      <c r="ED635" s="1451"/>
      <c r="EE635" s="1451"/>
      <c r="EF635" s="1451"/>
      <c r="EG635" s="1451"/>
      <c r="EH635" s="1451" t="e">
        <f t="shared" ref="EH635:EH669" si="4">FJ718*(CZ718/$CZ$753)</f>
        <v>#VALUE!</v>
      </c>
      <c r="EI635" s="1451"/>
      <c r="EJ635" s="1451"/>
      <c r="EK635" s="1451"/>
      <c r="EL635" s="1451"/>
      <c r="EM635" s="1451" t="e">
        <f t="shared" ref="EM635:EM669" si="5">FO718*(DE718/$DE$753)</f>
        <v>#VALUE!</v>
      </c>
      <c r="EN635" s="1451"/>
      <c r="EO635" s="1451"/>
      <c r="EP635" s="1451"/>
      <c r="EQ635" s="1451"/>
      <c r="ER635" s="1451" t="e">
        <f t="shared" ref="ER635:ER669" si="6">FT718*(DJ718/$DJ$753)</f>
        <v>#VALUE!</v>
      </c>
      <c r="ES635" s="1451"/>
      <c r="ET635" s="1451"/>
      <c r="EU635" s="1451"/>
      <c r="EV635" s="1451"/>
      <c r="EW635" s="1451" t="e">
        <f t="shared" ref="EW635:EW669" si="7">FY718*(DO718/$DO$753)</f>
        <v>#VALUE!</v>
      </c>
      <c r="EX635" s="1451"/>
      <c r="EY635" s="1451"/>
      <c r="EZ635" s="1451"/>
      <c r="FA635" s="1451"/>
    </row>
    <row r="636" spans="2:157" ht="12.95" customHeight="1">
      <c r="B636" s="52" t="s">
        <v>646</v>
      </c>
      <c r="C636" s="1411"/>
      <c r="D636" s="1411"/>
      <c r="E636" s="1411"/>
      <c r="F636" s="1411"/>
      <c r="G636" s="1411"/>
      <c r="H636" s="1411"/>
      <c r="I636" s="1411"/>
      <c r="J636" s="1411"/>
      <c r="K636" s="1411"/>
      <c r="L636" s="1411"/>
      <c r="M636" s="1600" t="s">
        <v>1183</v>
      </c>
      <c r="N636" s="1600"/>
      <c r="O636" s="1600"/>
      <c r="P636" s="1600"/>
      <c r="Q636" s="1432"/>
      <c r="R636" s="1433"/>
      <c r="S636" s="1434"/>
      <c r="T636" s="1432"/>
      <c r="U636" s="1433"/>
      <c r="V636" s="1434"/>
      <c r="W636" s="1442"/>
      <c r="X636" s="1443"/>
      <c r="Y636" s="1444"/>
      <c r="Z636" s="1470" t="s">
        <v>1183</v>
      </c>
      <c r="AA636" s="1471"/>
      <c r="AB636" s="1472"/>
      <c r="AC636" s="1601"/>
      <c r="AD636" s="1602"/>
      <c r="AE636" s="1603"/>
      <c r="AF636" s="1467"/>
      <c r="AG636" s="1468"/>
      <c r="AH636" s="1468"/>
      <c r="AI636" s="1468"/>
      <c r="AJ636" s="1469"/>
      <c r="AK636" s="1427"/>
      <c r="AL636" s="1428"/>
      <c r="AM636" s="1428"/>
      <c r="AN636" s="1429"/>
      <c r="AO636" s="1447"/>
      <c r="AP636" s="1448"/>
      <c r="AQ636" s="1448"/>
      <c r="AR636" s="1448"/>
      <c r="AS636" s="1449"/>
      <c r="AT636" s="1147"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51" t="e">
        <f t="shared" si="2"/>
        <v>#VALUE!</v>
      </c>
      <c r="DY636" s="1451"/>
      <c r="DZ636" s="1451"/>
      <c r="EA636" s="1451"/>
      <c r="EB636" s="1451"/>
      <c r="EC636" s="1451">
        <f t="shared" si="3"/>
        <v>124.49589041095891</v>
      </c>
      <c r="ED636" s="1451"/>
      <c r="EE636" s="1451"/>
      <c r="EF636" s="1451"/>
      <c r="EG636" s="1451"/>
      <c r="EH636" s="1451" t="e">
        <f t="shared" si="4"/>
        <v>#VALUE!</v>
      </c>
      <c r="EI636" s="1451"/>
      <c r="EJ636" s="1451"/>
      <c r="EK636" s="1451"/>
      <c r="EL636" s="1451"/>
      <c r="EM636" s="1451" t="e">
        <f t="shared" si="5"/>
        <v>#VALUE!</v>
      </c>
      <c r="EN636" s="1451"/>
      <c r="EO636" s="1451"/>
      <c r="EP636" s="1451"/>
      <c r="EQ636" s="1451"/>
      <c r="ER636" s="1451" t="e">
        <f t="shared" si="6"/>
        <v>#VALUE!</v>
      </c>
      <c r="ES636" s="1451"/>
      <c r="ET636" s="1451"/>
      <c r="EU636" s="1451"/>
      <c r="EV636" s="1451"/>
      <c r="EW636" s="1451" t="e">
        <f t="shared" si="7"/>
        <v>#VALUE!</v>
      </c>
      <c r="EX636" s="1451"/>
      <c r="EY636" s="1451"/>
      <c r="EZ636" s="1451"/>
      <c r="FA636" s="1451"/>
    </row>
    <row r="637" spans="2:157" ht="12.95" customHeight="1">
      <c r="B637" s="52" t="s">
        <v>362</v>
      </c>
      <c r="C637" s="1411"/>
      <c r="D637" s="1411"/>
      <c r="E637" s="1411"/>
      <c r="F637" s="1411"/>
      <c r="G637" s="1411"/>
      <c r="H637" s="1411"/>
      <c r="I637" s="1411"/>
      <c r="J637" s="1411"/>
      <c r="K637" s="1411"/>
      <c r="L637" s="1411"/>
      <c r="M637" s="1600" t="s">
        <v>1183</v>
      </c>
      <c r="N637" s="1600"/>
      <c r="O637" s="1600"/>
      <c r="P637" s="1600"/>
      <c r="Q637" s="1432"/>
      <c r="R637" s="1433"/>
      <c r="S637" s="1434"/>
      <c r="T637" s="1432"/>
      <c r="U637" s="1433"/>
      <c r="V637" s="1434"/>
      <c r="W637" s="1442"/>
      <c r="X637" s="1443"/>
      <c r="Y637" s="1444"/>
      <c r="Z637" s="1470" t="s">
        <v>1183</v>
      </c>
      <c r="AA637" s="1471"/>
      <c r="AB637" s="1472"/>
      <c r="AC637" s="1601"/>
      <c r="AD637" s="1602"/>
      <c r="AE637" s="1603"/>
      <c r="AF637" s="1467"/>
      <c r="AG637" s="1468"/>
      <c r="AH637" s="1468"/>
      <c r="AI637" s="1468"/>
      <c r="AJ637" s="1469"/>
      <c r="AK637" s="1427"/>
      <c r="AL637" s="1428"/>
      <c r="AM637" s="1428"/>
      <c r="AN637" s="1429"/>
      <c r="AO637" s="1447"/>
      <c r="AP637" s="1448"/>
      <c r="AQ637" s="1448"/>
      <c r="AR637" s="1448"/>
      <c r="AS637" s="1449"/>
      <c r="AT637" s="1147"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451" t="e">
        <f t="shared" si="2"/>
        <v>#VALUE!</v>
      </c>
      <c r="DY637" s="1451"/>
      <c r="DZ637" s="1451"/>
      <c r="EA637" s="1451"/>
      <c r="EB637" s="1451"/>
      <c r="EC637" s="1451">
        <f t="shared" si="3"/>
        <v>596.13972602739727</v>
      </c>
      <c r="ED637" s="1451"/>
      <c r="EE637" s="1451"/>
      <c r="EF637" s="1451"/>
      <c r="EG637" s="1451"/>
      <c r="EH637" s="1451" t="e">
        <f t="shared" si="4"/>
        <v>#VALUE!</v>
      </c>
      <c r="EI637" s="1451"/>
      <c r="EJ637" s="1451"/>
      <c r="EK637" s="1451"/>
      <c r="EL637" s="1451"/>
      <c r="EM637" s="1451" t="e">
        <f t="shared" si="5"/>
        <v>#VALUE!</v>
      </c>
      <c r="EN637" s="1451"/>
      <c r="EO637" s="1451"/>
      <c r="EP637" s="1451"/>
      <c r="EQ637" s="1451"/>
      <c r="ER637" s="1451" t="e">
        <f t="shared" si="6"/>
        <v>#VALUE!</v>
      </c>
      <c r="ES637" s="1451"/>
      <c r="ET637" s="1451"/>
      <c r="EU637" s="1451"/>
      <c r="EV637" s="1451"/>
      <c r="EW637" s="1451" t="e">
        <f t="shared" si="7"/>
        <v>#VALUE!</v>
      </c>
      <c r="EX637" s="1451"/>
      <c r="EY637" s="1451"/>
      <c r="EZ637" s="1451"/>
      <c r="FA637" s="1451"/>
    </row>
    <row r="638" spans="2:157" ht="12.95" customHeight="1">
      <c r="B638" s="52" t="s">
        <v>363</v>
      </c>
      <c r="C638" s="1411"/>
      <c r="D638" s="1411"/>
      <c r="E638" s="1411"/>
      <c r="F638" s="1411"/>
      <c r="G638" s="1411"/>
      <c r="H638" s="1411"/>
      <c r="I638" s="1411"/>
      <c r="J638" s="1411"/>
      <c r="K638" s="1411"/>
      <c r="L638" s="1411"/>
      <c r="M638" s="1600" t="s">
        <v>1183</v>
      </c>
      <c r="N638" s="1600"/>
      <c r="O638" s="1600"/>
      <c r="P638" s="1600"/>
      <c r="Q638" s="1432"/>
      <c r="R638" s="1433"/>
      <c r="S638" s="1434"/>
      <c r="T638" s="1432"/>
      <c r="U638" s="1433"/>
      <c r="V638" s="1434"/>
      <c r="W638" s="1442"/>
      <c r="X638" s="1443"/>
      <c r="Y638" s="1444"/>
      <c r="Z638" s="1470" t="s">
        <v>1183</v>
      </c>
      <c r="AA638" s="1471"/>
      <c r="AB638" s="1472"/>
      <c r="AC638" s="1601"/>
      <c r="AD638" s="1602"/>
      <c r="AE638" s="1603"/>
      <c r="AF638" s="1467"/>
      <c r="AG638" s="1468"/>
      <c r="AH638" s="1468"/>
      <c r="AI638" s="1468"/>
      <c r="AJ638" s="1469"/>
      <c r="AK638" s="1427"/>
      <c r="AL638" s="1428"/>
      <c r="AM638" s="1428"/>
      <c r="AN638" s="1429"/>
      <c r="AO638" s="1447"/>
      <c r="AP638" s="1448"/>
      <c r="AQ638" s="1448"/>
      <c r="AR638" s="1448"/>
      <c r="AS638" s="1449"/>
      <c r="AT638" s="1147"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51" t="e">
        <f t="shared" si="2"/>
        <v>#VALUE!</v>
      </c>
      <c r="DY638" s="1451"/>
      <c r="DZ638" s="1451"/>
      <c r="EA638" s="1451"/>
      <c r="EB638" s="1451"/>
      <c r="EC638" s="1451">
        <f t="shared" si="3"/>
        <v>841.94520547945194</v>
      </c>
      <c r="ED638" s="1451"/>
      <c r="EE638" s="1451"/>
      <c r="EF638" s="1451"/>
      <c r="EG638" s="1451"/>
      <c r="EH638" s="1451" t="e">
        <f t="shared" si="4"/>
        <v>#VALUE!</v>
      </c>
      <c r="EI638" s="1451"/>
      <c r="EJ638" s="1451"/>
      <c r="EK638" s="1451"/>
      <c r="EL638" s="1451"/>
      <c r="EM638" s="1451" t="e">
        <f t="shared" si="5"/>
        <v>#VALUE!</v>
      </c>
      <c r="EN638" s="1451"/>
      <c r="EO638" s="1451"/>
      <c r="EP638" s="1451"/>
      <c r="EQ638" s="1451"/>
      <c r="ER638" s="1451" t="e">
        <f t="shared" si="6"/>
        <v>#VALUE!</v>
      </c>
      <c r="ES638" s="1451"/>
      <c r="ET638" s="1451"/>
      <c r="EU638" s="1451"/>
      <c r="EV638" s="1451"/>
      <c r="EW638" s="1451" t="e">
        <f t="shared" si="7"/>
        <v>#VALUE!</v>
      </c>
      <c r="EX638" s="1451"/>
      <c r="EY638" s="1451"/>
      <c r="EZ638" s="1451"/>
      <c r="FA638" s="1451"/>
    </row>
    <row r="639" spans="2:157" ht="12.95" customHeight="1">
      <c r="B639" s="1609" t="s">
        <v>128</v>
      </c>
      <c r="C639" s="1610"/>
      <c r="D639" s="1610"/>
      <c r="E639" s="1610"/>
      <c r="F639" s="1610"/>
      <c r="G639" s="1610"/>
      <c r="H639" s="1610"/>
      <c r="I639" s="1610"/>
      <c r="J639" s="1610"/>
      <c r="K639" s="1610"/>
      <c r="L639" s="1610"/>
      <c r="M639" s="1610"/>
      <c r="N639" s="1610"/>
      <c r="O639" s="1610"/>
      <c r="P639" s="1610"/>
      <c r="Q639" s="1610"/>
      <c r="R639" s="1610"/>
      <c r="S639" s="1610"/>
      <c r="T639" s="1610"/>
      <c r="U639" s="1610"/>
      <c r="V639" s="1610"/>
      <c r="W639" s="1610"/>
      <c r="X639" s="1610"/>
      <c r="Y639" s="1610"/>
      <c r="Z639" s="1610"/>
      <c r="AA639" s="1610"/>
      <c r="AB639" s="1610"/>
      <c r="AC639" s="1610"/>
      <c r="AD639" s="1610"/>
      <c r="AE639" s="1610"/>
      <c r="AF639" s="1610"/>
      <c r="AG639" s="1610"/>
      <c r="AH639" s="1610"/>
      <c r="AI639" s="1610"/>
      <c r="AJ639" s="1610"/>
      <c r="AK639" s="1610"/>
      <c r="AL639" s="1610"/>
      <c r="AM639" s="1610"/>
      <c r="AN639" s="1611"/>
      <c r="AO639" s="1424">
        <f>SUM(AO627:AR638)</f>
        <v>73222736</v>
      </c>
      <c r="AP639" s="1425"/>
      <c r="AQ639" s="1425"/>
      <c r="AR639" s="1425"/>
      <c r="AS639" s="142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51" t="e">
        <f t="shared" si="2"/>
        <v>#VALUE!</v>
      </c>
      <c r="DY639" s="1451"/>
      <c r="DZ639" s="1451"/>
      <c r="EA639" s="1451"/>
      <c r="EB639" s="1451"/>
      <c r="EC639" s="1451" t="e">
        <f t="shared" si="3"/>
        <v>#VALUE!</v>
      </c>
      <c r="ED639" s="1451"/>
      <c r="EE639" s="1451"/>
      <c r="EF639" s="1451"/>
      <c r="EG639" s="1451"/>
      <c r="EH639" s="1451">
        <f t="shared" si="4"/>
        <v>190.03846153846155</v>
      </c>
      <c r="EI639" s="1451"/>
      <c r="EJ639" s="1451"/>
      <c r="EK639" s="1451"/>
      <c r="EL639" s="1451"/>
      <c r="EM639" s="1451" t="e">
        <f t="shared" si="5"/>
        <v>#VALUE!</v>
      </c>
      <c r="EN639" s="1451"/>
      <c r="EO639" s="1451"/>
      <c r="EP639" s="1451"/>
      <c r="EQ639" s="1451"/>
      <c r="ER639" s="1451" t="e">
        <f t="shared" si="6"/>
        <v>#VALUE!</v>
      </c>
      <c r="ES639" s="1451"/>
      <c r="ET639" s="1451"/>
      <c r="EU639" s="1451"/>
      <c r="EV639" s="1451"/>
      <c r="EW639" s="1451" t="e">
        <f t="shared" si="7"/>
        <v>#VALUE!</v>
      </c>
      <c r="EX639" s="1451"/>
      <c r="EY639" s="1451"/>
      <c r="EZ639" s="1451"/>
      <c r="FA639" s="1451"/>
    </row>
    <row r="640" spans="2:157" ht="12.95" customHeight="1">
      <c r="B640" s="1609" t="s">
        <v>267</v>
      </c>
      <c r="C640" s="1610"/>
      <c r="D640" s="1610"/>
      <c r="E640" s="1610"/>
      <c r="F640" s="1610"/>
      <c r="G640" s="1610"/>
      <c r="H640" s="1610"/>
      <c r="I640" s="1610"/>
      <c r="J640" s="1610"/>
      <c r="K640" s="1610"/>
      <c r="L640" s="1610"/>
      <c r="M640" s="1610"/>
      <c r="N640" s="1610"/>
      <c r="O640" s="1610"/>
      <c r="P640" s="1610"/>
      <c r="Q640" s="1610"/>
      <c r="R640" s="1610"/>
      <c r="S640" s="1610"/>
      <c r="T640" s="1610"/>
      <c r="U640" s="1610"/>
      <c r="V640" s="1610"/>
      <c r="W640" s="1610"/>
      <c r="X640" s="1610"/>
      <c r="Y640" s="1610"/>
      <c r="Z640" s="1610"/>
      <c r="AA640" s="1610"/>
      <c r="AB640" s="1610"/>
      <c r="AC640" s="1610"/>
      <c r="AD640" s="1610"/>
      <c r="AE640" s="1610"/>
      <c r="AF640" s="1610"/>
      <c r="AG640" s="1610"/>
      <c r="AH640" s="1610"/>
      <c r="AI640" s="1610"/>
      <c r="AJ640" s="1610"/>
      <c r="AK640" s="1610"/>
      <c r="AL640" s="1610"/>
      <c r="AM640" s="1610"/>
      <c r="AN640" s="1611"/>
      <c r="AO640" s="1447">
        <v>51516935</v>
      </c>
      <c r="AP640" s="1448"/>
      <c r="AQ640" s="1448"/>
      <c r="AR640" s="1448"/>
      <c r="AS640" s="144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51" t="e">
        <f t="shared" si="2"/>
        <v>#VALUE!</v>
      </c>
      <c r="DY640" s="1451"/>
      <c r="DZ640" s="1451"/>
      <c r="EA640" s="1451"/>
      <c r="EB640" s="1451"/>
      <c r="EC640" s="1451" t="e">
        <f t="shared" si="3"/>
        <v>#VALUE!</v>
      </c>
      <c r="ED640" s="1451"/>
      <c r="EE640" s="1451"/>
      <c r="EF640" s="1451"/>
      <c r="EG640" s="1451"/>
      <c r="EH640" s="1451">
        <f t="shared" si="4"/>
        <v>1223.1384615384616</v>
      </c>
      <c r="EI640" s="1451"/>
      <c r="EJ640" s="1451"/>
      <c r="EK640" s="1451"/>
      <c r="EL640" s="1451"/>
      <c r="EM640" s="1451" t="e">
        <f t="shared" si="5"/>
        <v>#VALUE!</v>
      </c>
      <c r="EN640" s="1451"/>
      <c r="EO640" s="1451"/>
      <c r="EP640" s="1451"/>
      <c r="EQ640" s="1451"/>
      <c r="ER640" s="1451" t="e">
        <f t="shared" si="6"/>
        <v>#VALUE!</v>
      </c>
      <c r="ES640" s="1451"/>
      <c r="ET640" s="1451"/>
      <c r="EU640" s="1451"/>
      <c r="EV640" s="1451"/>
      <c r="EW640" s="1451" t="e">
        <f t="shared" si="7"/>
        <v>#VALUE!</v>
      </c>
      <c r="EX640" s="1451"/>
      <c r="EY640" s="1451"/>
      <c r="EZ640" s="1451"/>
      <c r="FA640" s="1451"/>
    </row>
    <row r="641" spans="1:157" ht="12.95" customHeight="1">
      <c r="B641" s="1695" t="s">
        <v>268</v>
      </c>
      <c r="C641" s="1681"/>
      <c r="D641" s="1681"/>
      <c r="E641" s="1681"/>
      <c r="F641" s="1681"/>
      <c r="G641" s="1681"/>
      <c r="H641" s="1681"/>
      <c r="I641" s="1681"/>
      <c r="J641" s="1681"/>
      <c r="K641" s="1681"/>
      <c r="L641" s="1681"/>
      <c r="M641" s="1681"/>
      <c r="N641" s="1681"/>
      <c r="O641" s="1681"/>
      <c r="P641" s="1681"/>
      <c r="Q641" s="1681"/>
      <c r="R641" s="1681"/>
      <c r="S641" s="1681"/>
      <c r="T641" s="1681"/>
      <c r="U641" s="1681"/>
      <c r="V641" s="1681"/>
      <c r="W641" s="1681"/>
      <c r="X641" s="1681"/>
      <c r="Y641" s="1681"/>
      <c r="Z641" s="1681"/>
      <c r="AA641" s="1681"/>
      <c r="AB641" s="1681"/>
      <c r="AC641" s="1681"/>
      <c r="AD641" s="1681"/>
      <c r="AE641" s="1681"/>
      <c r="AF641" s="1681"/>
      <c r="AG641" s="1681"/>
      <c r="AH641" s="1681"/>
      <c r="AI641" s="1681"/>
      <c r="AJ641" s="1681"/>
      <c r="AK641" s="1681"/>
      <c r="AL641" s="1681"/>
      <c r="AM641" s="1681"/>
      <c r="AN641" s="1696"/>
      <c r="AO641" s="1424">
        <f>AO639+AO640</f>
        <v>124739671</v>
      </c>
      <c r="AP641" s="1425"/>
      <c r="AQ641" s="1425"/>
      <c r="AR641" s="1425"/>
      <c r="AS641" s="142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51" t="e">
        <f t="shared" si="2"/>
        <v>#VALUE!</v>
      </c>
      <c r="DY641" s="1451"/>
      <c r="DZ641" s="1451"/>
      <c r="EA641" s="1451"/>
      <c r="EB641" s="1451"/>
      <c r="EC641" s="1451" t="e">
        <f t="shared" si="3"/>
        <v>#VALUE!</v>
      </c>
      <c r="ED641" s="1451"/>
      <c r="EE641" s="1451"/>
      <c r="EF641" s="1451"/>
      <c r="EG641" s="1451"/>
      <c r="EH641" s="1451">
        <f t="shared" si="4"/>
        <v>627.03846153846155</v>
      </c>
      <c r="EI641" s="1451"/>
      <c r="EJ641" s="1451"/>
      <c r="EK641" s="1451"/>
      <c r="EL641" s="1451"/>
      <c r="EM641" s="1451" t="e">
        <f t="shared" si="5"/>
        <v>#VALUE!</v>
      </c>
      <c r="EN641" s="1451"/>
      <c r="EO641" s="1451"/>
      <c r="EP641" s="1451"/>
      <c r="EQ641" s="1451"/>
      <c r="ER641" s="1451" t="e">
        <f t="shared" si="6"/>
        <v>#VALUE!</v>
      </c>
      <c r="ES641" s="1451"/>
      <c r="ET641" s="1451"/>
      <c r="EU641" s="1451"/>
      <c r="EV641" s="1451"/>
      <c r="EW641" s="1451" t="e">
        <f t="shared" si="7"/>
        <v>#VALUE!</v>
      </c>
      <c r="EX641" s="1451"/>
      <c r="EY641" s="1451"/>
      <c r="EZ641" s="1451"/>
      <c r="FA641" s="1451"/>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51" t="e">
        <f t="shared" si="2"/>
        <v>#VALUE!</v>
      </c>
      <c r="DY642" s="1451"/>
      <c r="DZ642" s="1451"/>
      <c r="EA642" s="1451"/>
      <c r="EB642" s="1451"/>
      <c r="EC642" s="1451" t="e">
        <f t="shared" si="3"/>
        <v>#VALUE!</v>
      </c>
      <c r="ED642" s="1451"/>
      <c r="EE642" s="1451"/>
      <c r="EF642" s="1451"/>
      <c r="EG642" s="1451"/>
      <c r="EH642" s="1451" t="e">
        <f t="shared" si="4"/>
        <v>#VALUE!</v>
      </c>
      <c r="EI642" s="1451"/>
      <c r="EJ642" s="1451"/>
      <c r="EK642" s="1451"/>
      <c r="EL642" s="1451"/>
      <c r="EM642" s="1451" t="e">
        <f t="shared" si="5"/>
        <v>#VALUE!</v>
      </c>
      <c r="EN642" s="1451"/>
      <c r="EO642" s="1451"/>
      <c r="EP642" s="1451"/>
      <c r="EQ642" s="1451"/>
      <c r="ER642" s="1451" t="e">
        <f t="shared" si="6"/>
        <v>#VALUE!</v>
      </c>
      <c r="ES642" s="1451"/>
      <c r="ET642" s="1451"/>
      <c r="EU642" s="1451"/>
      <c r="EV642" s="1451"/>
      <c r="EW642" s="1451" t="e">
        <f t="shared" si="7"/>
        <v>#VALUE!</v>
      </c>
      <c r="EX642" s="1451"/>
      <c r="EY642" s="1451"/>
      <c r="EZ642" s="1451"/>
      <c r="FA642" s="1451"/>
    </row>
    <row r="643" spans="1:157" ht="12.95" customHeight="1">
      <c r="A643" s="55" t="s">
        <v>112</v>
      </c>
      <c r="B643" t="s">
        <v>463</v>
      </c>
      <c r="G643" s="1385" t="str">
        <f>C627</f>
        <v xml:space="preserve">Perm Loan: Citibank </v>
      </c>
      <c r="H643" s="1385"/>
      <c r="I643" s="1385"/>
      <c r="J643" s="1385"/>
      <c r="K643" s="1385"/>
      <c r="L643" s="1385"/>
      <c r="M643" s="1385"/>
      <c r="N643" s="1385"/>
      <c r="O643" s="1385"/>
      <c r="P643" s="1385"/>
      <c r="Q643" s="1385"/>
      <c r="R643" s="1385"/>
      <c r="S643" s="8"/>
      <c r="T643" s="55" t="s">
        <v>113</v>
      </c>
      <c r="U643" t="s">
        <v>463</v>
      </c>
      <c r="Z643" s="1385" t="str">
        <f>C628</f>
        <v>Deferred Developer Fee</v>
      </c>
      <c r="AA643" s="1385"/>
      <c r="AB643" s="1385"/>
      <c r="AC643" s="1385"/>
      <c r="AD643" s="1385"/>
      <c r="AE643" s="1385"/>
      <c r="AF643" s="1385"/>
      <c r="AG643" s="1385"/>
      <c r="AH643" s="1385"/>
      <c r="AI643" s="1385"/>
      <c r="AJ643" s="1385"/>
      <c r="AK643" s="138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51" t="e">
        <f t="shared" si="2"/>
        <v>#VALUE!</v>
      </c>
      <c r="DY643" s="1451"/>
      <c r="DZ643" s="1451"/>
      <c r="EA643" s="1451"/>
      <c r="EB643" s="1451"/>
      <c r="EC643" s="1451" t="e">
        <f t="shared" si="3"/>
        <v>#VALUE!</v>
      </c>
      <c r="ED643" s="1451"/>
      <c r="EE643" s="1451"/>
      <c r="EF643" s="1451"/>
      <c r="EG643" s="1451"/>
      <c r="EH643" s="1451" t="e">
        <f t="shared" si="4"/>
        <v>#VALUE!</v>
      </c>
      <c r="EI643" s="1451"/>
      <c r="EJ643" s="1451"/>
      <c r="EK643" s="1451"/>
      <c r="EL643" s="1451"/>
      <c r="EM643" s="1451" t="e">
        <f t="shared" si="5"/>
        <v>#VALUE!</v>
      </c>
      <c r="EN643" s="1451"/>
      <c r="EO643" s="1451"/>
      <c r="EP643" s="1451"/>
      <c r="EQ643" s="1451"/>
      <c r="ER643" s="1451" t="e">
        <f t="shared" si="6"/>
        <v>#VALUE!</v>
      </c>
      <c r="ES643" s="1451"/>
      <c r="ET643" s="1451"/>
      <c r="EU643" s="1451"/>
      <c r="EV643" s="1451"/>
      <c r="EW643" s="1451" t="e">
        <f t="shared" si="7"/>
        <v>#VALUE!</v>
      </c>
      <c r="EX643" s="1451"/>
      <c r="EY643" s="1451"/>
      <c r="EZ643" s="1451"/>
      <c r="FA643" s="1451"/>
    </row>
    <row r="644" spans="1:157" ht="12.95" customHeight="1">
      <c r="A644" s="22"/>
      <c r="B644" t="s">
        <v>85</v>
      </c>
      <c r="G644" s="1339" t="s">
        <v>2715</v>
      </c>
      <c r="H644" s="1339"/>
      <c r="I644" s="1339"/>
      <c r="J644" s="1339"/>
      <c r="K644" s="1339"/>
      <c r="L644" s="1339"/>
      <c r="M644" s="1339"/>
      <c r="N644" s="1339"/>
      <c r="O644" s="1339"/>
      <c r="P644" s="1339"/>
      <c r="Q644" s="1339"/>
      <c r="R644" s="1339"/>
      <c r="S644" s="8"/>
      <c r="T644" s="22"/>
      <c r="U644" t="s">
        <v>85</v>
      </c>
      <c r="Z644" s="1339" t="s">
        <v>2729</v>
      </c>
      <c r="AA644" s="1339"/>
      <c r="AB644" s="1339"/>
      <c r="AC644" s="1339"/>
      <c r="AD644" s="1339"/>
      <c r="AE644" s="1339"/>
      <c r="AF644" s="1339"/>
      <c r="AG644" s="1339"/>
      <c r="AH644" s="1339"/>
      <c r="AI644" s="1339"/>
      <c r="AJ644" s="1339"/>
      <c r="AK644" s="1339"/>
      <c r="AV644" s="3"/>
      <c r="AW644" s="3"/>
      <c r="AX644" s="3"/>
      <c r="AY644" s="3"/>
      <c r="AZ644" s="3"/>
      <c r="BA644" s="3"/>
      <c r="BB644" s="3"/>
      <c r="BC644" s="3"/>
      <c r="BD644" s="3"/>
      <c r="BE644" s="3"/>
      <c r="BF644" s="3"/>
      <c r="BG644" s="3"/>
      <c r="BH644" s="3"/>
      <c r="BI644" s="3"/>
      <c r="BJ644" s="3"/>
      <c r="BK644" s="3"/>
      <c r="BL644" s="3"/>
      <c r="BM644" s="3"/>
      <c r="DX644" s="1451" t="e">
        <f t="shared" si="2"/>
        <v>#VALUE!</v>
      </c>
      <c r="DY644" s="1451"/>
      <c r="DZ644" s="1451"/>
      <c r="EA644" s="1451"/>
      <c r="EB644" s="1451"/>
      <c r="EC644" s="1451" t="e">
        <f t="shared" si="3"/>
        <v>#VALUE!</v>
      </c>
      <c r="ED644" s="1451"/>
      <c r="EE644" s="1451"/>
      <c r="EF644" s="1451"/>
      <c r="EG644" s="1451"/>
      <c r="EH644" s="1451" t="e">
        <f t="shared" si="4"/>
        <v>#VALUE!</v>
      </c>
      <c r="EI644" s="1451"/>
      <c r="EJ644" s="1451"/>
      <c r="EK644" s="1451"/>
      <c r="EL644" s="1451"/>
      <c r="EM644" s="1451" t="e">
        <f t="shared" si="5"/>
        <v>#VALUE!</v>
      </c>
      <c r="EN644" s="1451"/>
      <c r="EO644" s="1451"/>
      <c r="EP644" s="1451"/>
      <c r="EQ644" s="1451"/>
      <c r="ER644" s="1451" t="e">
        <f t="shared" si="6"/>
        <v>#VALUE!</v>
      </c>
      <c r="ES644" s="1451"/>
      <c r="ET644" s="1451"/>
      <c r="EU644" s="1451"/>
      <c r="EV644" s="1451"/>
      <c r="EW644" s="1451" t="e">
        <f t="shared" si="7"/>
        <v>#VALUE!</v>
      </c>
      <c r="EX644" s="1451"/>
      <c r="EY644" s="1451"/>
      <c r="EZ644" s="1451"/>
      <c r="FA644" s="1451"/>
    </row>
    <row r="645" spans="1:157" ht="12.95" customHeight="1">
      <c r="A645" s="22"/>
      <c r="B645" t="s">
        <v>580</v>
      </c>
      <c r="G645" s="1339" t="s">
        <v>2652</v>
      </c>
      <c r="H645" s="1339"/>
      <c r="I645" s="1339"/>
      <c r="J645" s="1339"/>
      <c r="K645" s="1339"/>
      <c r="L645" s="1339"/>
      <c r="M645" s="1339"/>
      <c r="N645" s="1339"/>
      <c r="O645" s="1339"/>
      <c r="P645" s="1339"/>
      <c r="Q645" s="1339"/>
      <c r="R645" s="1339"/>
      <c r="T645" s="22"/>
      <c r="U645" t="s">
        <v>580</v>
      </c>
      <c r="Z645" s="1656" t="s">
        <v>494</v>
      </c>
      <c r="AA645" s="1656"/>
      <c r="AB645" s="1656"/>
      <c r="AC645" s="1656"/>
      <c r="AD645" s="1656"/>
      <c r="AE645" s="1656"/>
      <c r="AF645" s="1656"/>
      <c r="AG645" s="1656"/>
      <c r="AH645" s="1656"/>
      <c r="AI645" s="1656"/>
      <c r="AJ645" s="1656"/>
      <c r="AK645" s="1656"/>
      <c r="AV645" s="3"/>
      <c r="AW645" s="3"/>
      <c r="AX645" s="3"/>
      <c r="AY645" s="3"/>
      <c r="AZ645" s="3"/>
      <c r="BA645" s="3"/>
      <c r="BB645" s="3"/>
      <c r="BC645" s="3"/>
      <c r="BD645" s="3"/>
      <c r="BE645" s="3"/>
      <c r="BF645" s="3"/>
      <c r="BG645" s="3"/>
      <c r="BH645" s="3"/>
      <c r="BI645" s="3"/>
      <c r="BJ645" s="3"/>
      <c r="BK645" s="3"/>
      <c r="BL645" s="3"/>
      <c r="BM645" s="3"/>
      <c r="DX645" s="1451" t="e">
        <f t="shared" si="2"/>
        <v>#VALUE!</v>
      </c>
      <c r="DY645" s="1451"/>
      <c r="DZ645" s="1451"/>
      <c r="EA645" s="1451"/>
      <c r="EB645" s="1451"/>
      <c r="EC645" s="1451" t="e">
        <f t="shared" si="3"/>
        <v>#VALUE!</v>
      </c>
      <c r="ED645" s="1451"/>
      <c r="EE645" s="1451"/>
      <c r="EF645" s="1451"/>
      <c r="EG645" s="1451"/>
      <c r="EH645" s="1451" t="e">
        <f t="shared" si="4"/>
        <v>#VALUE!</v>
      </c>
      <c r="EI645" s="1451"/>
      <c r="EJ645" s="1451"/>
      <c r="EK645" s="1451"/>
      <c r="EL645" s="1451"/>
      <c r="EM645" s="1451" t="e">
        <f t="shared" si="5"/>
        <v>#VALUE!</v>
      </c>
      <c r="EN645" s="1451"/>
      <c r="EO645" s="1451"/>
      <c r="EP645" s="1451"/>
      <c r="EQ645" s="1451"/>
      <c r="ER645" s="1451" t="e">
        <f t="shared" si="6"/>
        <v>#VALUE!</v>
      </c>
      <c r="ES645" s="1451"/>
      <c r="ET645" s="1451"/>
      <c r="EU645" s="1451"/>
      <c r="EV645" s="1451"/>
      <c r="EW645" s="1451" t="e">
        <f t="shared" si="7"/>
        <v>#VALUE!</v>
      </c>
      <c r="EX645" s="1451"/>
      <c r="EY645" s="1451"/>
      <c r="EZ645" s="1451"/>
      <c r="FA645" s="1451"/>
    </row>
    <row r="646" spans="1:157" ht="12.95" customHeight="1">
      <c r="A646" s="22"/>
      <c r="B646" t="s">
        <v>17</v>
      </c>
      <c r="G646" s="1339" t="s">
        <v>2716</v>
      </c>
      <c r="H646" s="1339"/>
      <c r="I646" s="1339"/>
      <c r="J646" s="1339"/>
      <c r="K646" s="1339"/>
      <c r="L646" s="1339"/>
      <c r="M646" s="1339"/>
      <c r="N646" s="1339"/>
      <c r="O646" s="1339"/>
      <c r="P646" s="1339"/>
      <c r="Q646" s="1339"/>
      <c r="R646" s="1339"/>
      <c r="S646" s="8"/>
      <c r="T646" s="22"/>
      <c r="U646" t="s">
        <v>17</v>
      </c>
      <c r="Z646" s="1656" t="s">
        <v>2730</v>
      </c>
      <c r="AA646" s="1656"/>
      <c r="AB646" s="1656"/>
      <c r="AC646" s="1656"/>
      <c r="AD646" s="1656"/>
      <c r="AE646" s="1656"/>
      <c r="AF646" s="1656"/>
      <c r="AG646" s="1656"/>
      <c r="AH646" s="1656"/>
      <c r="AI646" s="1656"/>
      <c r="AJ646" s="1656"/>
      <c r="AK646" s="1656"/>
      <c r="AZ646" s="3"/>
      <c r="BA646" s="3"/>
      <c r="BB646" s="3"/>
      <c r="BC646" s="3"/>
      <c r="BD646" s="3"/>
      <c r="BE646" s="3"/>
      <c r="BF646" s="3"/>
      <c r="BG646" s="3"/>
      <c r="BH646" s="3"/>
      <c r="BI646" s="3"/>
      <c r="BJ646" s="3"/>
      <c r="BK646" s="3"/>
      <c r="BL646" s="3"/>
      <c r="BM646" s="3"/>
      <c r="DX646" s="1451" t="e">
        <f t="shared" si="2"/>
        <v>#VALUE!</v>
      </c>
      <c r="DY646" s="1451"/>
      <c r="DZ646" s="1451"/>
      <c r="EA646" s="1451"/>
      <c r="EB646" s="1451"/>
      <c r="EC646" s="1451" t="e">
        <f t="shared" si="3"/>
        <v>#VALUE!</v>
      </c>
      <c r="ED646" s="1451"/>
      <c r="EE646" s="1451"/>
      <c r="EF646" s="1451"/>
      <c r="EG646" s="1451"/>
      <c r="EH646" s="1451" t="e">
        <f t="shared" si="4"/>
        <v>#VALUE!</v>
      </c>
      <c r="EI646" s="1451"/>
      <c r="EJ646" s="1451"/>
      <c r="EK646" s="1451"/>
      <c r="EL646" s="1451"/>
      <c r="EM646" s="1451" t="e">
        <f t="shared" si="5"/>
        <v>#VALUE!</v>
      </c>
      <c r="EN646" s="1451"/>
      <c r="EO646" s="1451"/>
      <c r="EP646" s="1451"/>
      <c r="EQ646" s="1451"/>
      <c r="ER646" s="1451" t="e">
        <f t="shared" si="6"/>
        <v>#VALUE!</v>
      </c>
      <c r="ES646" s="1451"/>
      <c r="ET646" s="1451"/>
      <c r="EU646" s="1451"/>
      <c r="EV646" s="1451"/>
      <c r="EW646" s="1451" t="e">
        <f t="shared" si="7"/>
        <v>#VALUE!</v>
      </c>
      <c r="EX646" s="1451"/>
      <c r="EY646" s="1451"/>
      <c r="EZ646" s="1451"/>
      <c r="FA646" s="1451"/>
    </row>
    <row r="647" spans="1:157" ht="12.95" customHeight="1">
      <c r="A647" s="22"/>
      <c r="B647" t="s">
        <v>316</v>
      </c>
      <c r="G647" s="1410" t="s">
        <v>2717</v>
      </c>
      <c r="H647" s="1410"/>
      <c r="I647" s="1410"/>
      <c r="J647" s="1410"/>
      <c r="K647" s="1410"/>
      <c r="L647" s="1410"/>
      <c r="O647" s="33" t="s">
        <v>206</v>
      </c>
      <c r="P647" s="1441"/>
      <c r="Q647" s="1441"/>
      <c r="R647" s="1441"/>
      <c r="S647" s="10"/>
      <c r="T647" s="22"/>
      <c r="U647" t="s">
        <v>316</v>
      </c>
      <c r="Z647" s="1410" t="s">
        <v>2635</v>
      </c>
      <c r="AA647" s="1410"/>
      <c r="AB647" s="1410"/>
      <c r="AC647" s="1410"/>
      <c r="AD647" s="1410"/>
      <c r="AE647" s="1410"/>
      <c r="AH647" s="33" t="s">
        <v>206</v>
      </c>
      <c r="AI647" s="1441">
        <v>106</v>
      </c>
      <c r="AJ647" s="1441"/>
      <c r="AK647" s="1441"/>
      <c r="AZ647" s="34"/>
      <c r="BA647" s="34"/>
      <c r="BB647" s="34"/>
      <c r="BC647" s="34"/>
      <c r="BD647" s="34"/>
      <c r="BE647" s="34"/>
      <c r="BF647" s="34"/>
      <c r="BG647" s="34"/>
      <c r="BH647" s="34"/>
      <c r="BI647" s="34"/>
      <c r="BJ647" s="34"/>
      <c r="BK647" s="34"/>
      <c r="BL647" s="34"/>
      <c r="BM647" s="34"/>
      <c r="DX647" s="1451" t="e">
        <f t="shared" si="2"/>
        <v>#VALUE!</v>
      </c>
      <c r="DY647" s="1451"/>
      <c r="DZ647" s="1451"/>
      <c r="EA647" s="1451"/>
      <c r="EB647" s="1451"/>
      <c r="EC647" s="1451" t="e">
        <f t="shared" si="3"/>
        <v>#VALUE!</v>
      </c>
      <c r="ED647" s="1451"/>
      <c r="EE647" s="1451"/>
      <c r="EF647" s="1451"/>
      <c r="EG647" s="1451"/>
      <c r="EH647" s="1451" t="e">
        <f t="shared" si="4"/>
        <v>#VALUE!</v>
      </c>
      <c r="EI647" s="1451"/>
      <c r="EJ647" s="1451"/>
      <c r="EK647" s="1451"/>
      <c r="EL647" s="1451"/>
      <c r="EM647" s="1451" t="e">
        <f t="shared" si="5"/>
        <v>#VALUE!</v>
      </c>
      <c r="EN647" s="1451"/>
      <c r="EO647" s="1451"/>
      <c r="EP647" s="1451"/>
      <c r="EQ647" s="1451"/>
      <c r="ER647" s="1451" t="e">
        <f t="shared" si="6"/>
        <v>#VALUE!</v>
      </c>
      <c r="ES647" s="1451"/>
      <c r="ET647" s="1451"/>
      <c r="EU647" s="1451"/>
      <c r="EV647" s="1451"/>
      <c r="EW647" s="1451" t="e">
        <f t="shared" si="7"/>
        <v>#VALUE!</v>
      </c>
      <c r="EX647" s="1451"/>
      <c r="EY647" s="1451"/>
      <c r="EZ647" s="1451"/>
      <c r="FA647" s="1451"/>
    </row>
    <row r="648" spans="1:157" ht="12.95" customHeight="1">
      <c r="A648" s="22"/>
      <c r="B648" t="s">
        <v>18</v>
      </c>
      <c r="H648" s="1339" t="s">
        <v>2718</v>
      </c>
      <c r="I648" s="1339"/>
      <c r="J648" s="1339"/>
      <c r="K648" s="1339"/>
      <c r="L648" s="1339"/>
      <c r="M648" s="1339"/>
      <c r="N648" s="1339"/>
      <c r="O648" s="1339"/>
      <c r="P648" s="1339"/>
      <c r="Q648" s="1339"/>
      <c r="R648" s="1339"/>
      <c r="S648" s="8"/>
      <c r="T648" s="22"/>
      <c r="U648" t="s">
        <v>18</v>
      </c>
      <c r="AA648" s="1339" t="s">
        <v>2321</v>
      </c>
      <c r="AB648" s="1339"/>
      <c r="AC648" s="1339"/>
      <c r="AD648" s="1339"/>
      <c r="AE648" s="1339"/>
      <c r="AF648" s="1339"/>
      <c r="AG648" s="1339"/>
      <c r="AH648" s="1339"/>
      <c r="AI648" s="1339"/>
      <c r="AJ648" s="1339"/>
      <c r="AK648" s="1339"/>
      <c r="AZ648" s="34"/>
      <c r="BA648" s="34"/>
      <c r="BB648" s="34"/>
      <c r="BC648" s="34"/>
      <c r="BD648" s="34"/>
      <c r="BE648" s="34"/>
      <c r="BF648" s="34"/>
      <c r="BG648" s="34"/>
      <c r="BH648" s="34"/>
      <c r="BI648" s="34"/>
      <c r="BJ648" s="34"/>
      <c r="BK648" s="34"/>
      <c r="BL648" s="34"/>
      <c r="BM648" s="34"/>
      <c r="DX648" s="1451" t="e">
        <f t="shared" si="2"/>
        <v>#VALUE!</v>
      </c>
      <c r="DY648" s="1451"/>
      <c r="DZ648" s="1451"/>
      <c r="EA648" s="1451"/>
      <c r="EB648" s="1451"/>
      <c r="EC648" s="1451" t="e">
        <f t="shared" si="3"/>
        <v>#VALUE!</v>
      </c>
      <c r="ED648" s="1451"/>
      <c r="EE648" s="1451"/>
      <c r="EF648" s="1451"/>
      <c r="EG648" s="1451"/>
      <c r="EH648" s="1451" t="e">
        <f t="shared" si="4"/>
        <v>#VALUE!</v>
      </c>
      <c r="EI648" s="1451"/>
      <c r="EJ648" s="1451"/>
      <c r="EK648" s="1451"/>
      <c r="EL648" s="1451"/>
      <c r="EM648" s="1451" t="e">
        <f t="shared" si="5"/>
        <v>#VALUE!</v>
      </c>
      <c r="EN648" s="1451"/>
      <c r="EO648" s="1451"/>
      <c r="EP648" s="1451"/>
      <c r="EQ648" s="1451"/>
      <c r="ER648" s="1451" t="e">
        <f t="shared" si="6"/>
        <v>#VALUE!</v>
      </c>
      <c r="ES648" s="1451"/>
      <c r="ET648" s="1451"/>
      <c r="EU648" s="1451"/>
      <c r="EV648" s="1451"/>
      <c r="EW648" s="1451" t="e">
        <f t="shared" si="7"/>
        <v>#VALUE!</v>
      </c>
      <c r="EX648" s="1451"/>
      <c r="EY648" s="1451"/>
      <c r="EZ648" s="1451"/>
      <c r="FA648" s="1451"/>
    </row>
    <row r="649" spans="1:157" ht="12.95" customHeight="1">
      <c r="A649" s="22"/>
      <c r="B649" t="s">
        <v>20</v>
      </c>
      <c r="N649" s="1331" t="s">
        <v>545</v>
      </c>
      <c r="O649" s="1331"/>
      <c r="T649" s="22"/>
      <c r="U649" t="s">
        <v>20</v>
      </c>
      <c r="AG649" s="1331" t="s">
        <v>545</v>
      </c>
      <c r="AH649" s="1331"/>
      <c r="AZ649" s="34"/>
      <c r="BA649" s="34"/>
      <c r="BB649" s="34"/>
      <c r="BC649" s="34"/>
      <c r="BD649" s="34"/>
      <c r="BE649" s="34"/>
      <c r="BF649" s="34"/>
      <c r="BG649" s="34"/>
      <c r="BH649" s="34"/>
      <c r="BI649" s="34"/>
      <c r="BJ649" s="34"/>
      <c r="BK649" s="34"/>
      <c r="BL649" s="34"/>
      <c r="BM649" s="34"/>
      <c r="DX649" s="1451" t="e">
        <f t="shared" si="2"/>
        <v>#VALUE!</v>
      </c>
      <c r="DY649" s="1451"/>
      <c r="DZ649" s="1451"/>
      <c r="EA649" s="1451"/>
      <c r="EB649" s="1451"/>
      <c r="EC649" s="1451" t="e">
        <f t="shared" si="3"/>
        <v>#VALUE!</v>
      </c>
      <c r="ED649" s="1451"/>
      <c r="EE649" s="1451"/>
      <c r="EF649" s="1451"/>
      <c r="EG649" s="1451"/>
      <c r="EH649" s="1451" t="e">
        <f t="shared" si="4"/>
        <v>#VALUE!</v>
      </c>
      <c r="EI649" s="1451"/>
      <c r="EJ649" s="1451"/>
      <c r="EK649" s="1451"/>
      <c r="EL649" s="1451"/>
      <c r="EM649" s="1451" t="e">
        <f t="shared" si="5"/>
        <v>#VALUE!</v>
      </c>
      <c r="EN649" s="1451"/>
      <c r="EO649" s="1451"/>
      <c r="EP649" s="1451"/>
      <c r="EQ649" s="1451"/>
      <c r="ER649" s="1451" t="e">
        <f t="shared" si="6"/>
        <v>#VALUE!</v>
      </c>
      <c r="ES649" s="1451"/>
      <c r="ET649" s="1451"/>
      <c r="EU649" s="1451"/>
      <c r="EV649" s="1451"/>
      <c r="EW649" s="1451" t="e">
        <f t="shared" si="7"/>
        <v>#VALUE!</v>
      </c>
      <c r="EX649" s="1451"/>
      <c r="EY649" s="1451"/>
      <c r="EZ649" s="1451"/>
      <c r="FA649" s="1451"/>
    </row>
    <row r="650" spans="1:157" ht="12.95" customHeight="1">
      <c r="A650" s="22"/>
      <c r="T650" s="22"/>
      <c r="AZ650" s="34"/>
      <c r="BA650" s="34"/>
      <c r="BB650" s="34"/>
      <c r="BC650" s="34"/>
      <c r="BD650" s="34"/>
      <c r="BE650" s="34"/>
      <c r="BF650" s="34"/>
      <c r="BG650" s="34"/>
      <c r="BH650" s="34"/>
      <c r="BI650" s="34"/>
      <c r="BJ650" s="34"/>
      <c r="BK650" s="34"/>
      <c r="BL650" s="34"/>
      <c r="BM650" s="34"/>
      <c r="DX650" s="1451" t="e">
        <f t="shared" si="2"/>
        <v>#VALUE!</v>
      </c>
      <c r="DY650" s="1451"/>
      <c r="DZ650" s="1451"/>
      <c r="EA650" s="1451"/>
      <c r="EB650" s="1451"/>
      <c r="EC650" s="1451" t="e">
        <f t="shared" si="3"/>
        <v>#VALUE!</v>
      </c>
      <c r="ED650" s="1451"/>
      <c r="EE650" s="1451"/>
      <c r="EF650" s="1451"/>
      <c r="EG650" s="1451"/>
      <c r="EH650" s="1451" t="e">
        <f t="shared" si="4"/>
        <v>#VALUE!</v>
      </c>
      <c r="EI650" s="1451"/>
      <c r="EJ650" s="1451"/>
      <c r="EK650" s="1451"/>
      <c r="EL650" s="1451"/>
      <c r="EM650" s="1451" t="e">
        <f t="shared" si="5"/>
        <v>#VALUE!</v>
      </c>
      <c r="EN650" s="1451"/>
      <c r="EO650" s="1451"/>
      <c r="EP650" s="1451"/>
      <c r="EQ650" s="1451"/>
      <c r="ER650" s="1451" t="e">
        <f t="shared" si="6"/>
        <v>#VALUE!</v>
      </c>
      <c r="ES650" s="1451"/>
      <c r="ET650" s="1451"/>
      <c r="EU650" s="1451"/>
      <c r="EV650" s="1451"/>
      <c r="EW650" s="1451" t="e">
        <f t="shared" si="7"/>
        <v>#VALUE!</v>
      </c>
      <c r="EX650" s="1451"/>
      <c r="EY650" s="1451"/>
      <c r="EZ650" s="1451"/>
      <c r="FA650" s="1451"/>
    </row>
    <row r="651" spans="1:157" ht="12.95" customHeight="1">
      <c r="A651" s="55" t="s">
        <v>119</v>
      </c>
      <c r="B651" t="s">
        <v>463</v>
      </c>
      <c r="G651" s="1385">
        <f>C629</f>
        <v>0</v>
      </c>
      <c r="H651" s="1385"/>
      <c r="I651" s="1385"/>
      <c r="J651" s="1385"/>
      <c r="K651" s="1385"/>
      <c r="L651" s="1385"/>
      <c r="M651" s="1385"/>
      <c r="N651" s="1385"/>
      <c r="O651" s="1385"/>
      <c r="P651" s="1385"/>
      <c r="Q651" s="1385"/>
      <c r="R651" s="1385"/>
      <c r="T651" s="55" t="s">
        <v>581</v>
      </c>
      <c r="U651" t="s">
        <v>463</v>
      </c>
      <c r="Z651" s="1385">
        <f>C630</f>
        <v>0</v>
      </c>
      <c r="AA651" s="1385"/>
      <c r="AB651" s="1385"/>
      <c r="AC651" s="1385"/>
      <c r="AD651" s="1385"/>
      <c r="AE651" s="1385"/>
      <c r="AF651" s="1385"/>
      <c r="AG651" s="1385"/>
      <c r="AH651" s="1385"/>
      <c r="AI651" s="1385"/>
      <c r="AJ651" s="1385"/>
      <c r="AK651" s="1385"/>
      <c r="AZ651" s="34"/>
      <c r="BA651" s="34"/>
      <c r="BB651" s="34"/>
      <c r="BC651" s="34"/>
      <c r="BD651" s="34"/>
      <c r="BE651" s="34"/>
      <c r="BF651" s="34"/>
      <c r="BG651" s="34"/>
      <c r="BH651" s="34"/>
      <c r="BI651" s="34"/>
      <c r="BJ651" s="34"/>
      <c r="BK651" s="34"/>
      <c r="BL651" s="34"/>
      <c r="BM651" s="34"/>
      <c r="DX651" s="1451" t="e">
        <f t="shared" si="2"/>
        <v>#VALUE!</v>
      </c>
      <c r="DY651" s="1451"/>
      <c r="DZ651" s="1451"/>
      <c r="EA651" s="1451"/>
      <c r="EB651" s="1451"/>
      <c r="EC651" s="1451" t="e">
        <f t="shared" si="3"/>
        <v>#VALUE!</v>
      </c>
      <c r="ED651" s="1451"/>
      <c r="EE651" s="1451"/>
      <c r="EF651" s="1451"/>
      <c r="EG651" s="1451"/>
      <c r="EH651" s="1451" t="e">
        <f t="shared" si="4"/>
        <v>#VALUE!</v>
      </c>
      <c r="EI651" s="1451"/>
      <c r="EJ651" s="1451"/>
      <c r="EK651" s="1451"/>
      <c r="EL651" s="1451"/>
      <c r="EM651" s="1451" t="e">
        <f t="shared" si="5"/>
        <v>#VALUE!</v>
      </c>
      <c r="EN651" s="1451"/>
      <c r="EO651" s="1451"/>
      <c r="EP651" s="1451"/>
      <c r="EQ651" s="1451"/>
      <c r="ER651" s="1451" t="e">
        <f t="shared" si="6"/>
        <v>#VALUE!</v>
      </c>
      <c r="ES651" s="1451"/>
      <c r="ET651" s="1451"/>
      <c r="EU651" s="1451"/>
      <c r="EV651" s="1451"/>
      <c r="EW651" s="1451" t="e">
        <f t="shared" si="7"/>
        <v>#VALUE!</v>
      </c>
      <c r="EX651" s="1451"/>
      <c r="EY651" s="1451"/>
      <c r="EZ651" s="1451"/>
      <c r="FA651" s="1451"/>
    </row>
    <row r="652" spans="1:157" ht="12.95" customHeight="1">
      <c r="A652" s="22"/>
      <c r="B652" t="s">
        <v>85</v>
      </c>
      <c r="G652" s="1339"/>
      <c r="H652" s="1339"/>
      <c r="I652" s="1339"/>
      <c r="J652" s="1339"/>
      <c r="K652" s="1339"/>
      <c r="L652" s="1339"/>
      <c r="M652" s="1339"/>
      <c r="N652" s="1339"/>
      <c r="O652" s="1339"/>
      <c r="P652" s="1339"/>
      <c r="Q652" s="1339"/>
      <c r="R652" s="1339"/>
      <c r="T652" s="22"/>
      <c r="U652" t="s">
        <v>85</v>
      </c>
      <c r="Z652" s="1339"/>
      <c r="AA652" s="1339"/>
      <c r="AB652" s="1339"/>
      <c r="AC652" s="1339"/>
      <c r="AD652" s="1339"/>
      <c r="AE652" s="1339"/>
      <c r="AF652" s="1339"/>
      <c r="AG652" s="1339"/>
      <c r="AH652" s="1339"/>
      <c r="AI652" s="1339"/>
      <c r="AJ652" s="1339"/>
      <c r="AK652" s="1339"/>
      <c r="AZ652" s="34"/>
      <c r="BA652" s="34"/>
      <c r="BB652" s="34"/>
      <c r="BC652" s="34"/>
      <c r="BD652" s="34"/>
      <c r="BE652" s="34"/>
      <c r="BF652" s="34"/>
      <c r="BG652" s="34"/>
      <c r="BH652" s="34"/>
      <c r="BI652" s="34"/>
      <c r="BJ652" s="34"/>
      <c r="BK652" s="34"/>
      <c r="BL652" s="34"/>
      <c r="BM652" s="34"/>
      <c r="DX652" s="1451" t="e">
        <f t="shared" si="2"/>
        <v>#VALUE!</v>
      </c>
      <c r="DY652" s="1451"/>
      <c r="DZ652" s="1451"/>
      <c r="EA652" s="1451"/>
      <c r="EB652" s="1451"/>
      <c r="EC652" s="1451" t="e">
        <f t="shared" si="3"/>
        <v>#VALUE!</v>
      </c>
      <c r="ED652" s="1451"/>
      <c r="EE652" s="1451"/>
      <c r="EF652" s="1451"/>
      <c r="EG652" s="1451"/>
      <c r="EH652" s="1451" t="e">
        <f t="shared" si="4"/>
        <v>#VALUE!</v>
      </c>
      <c r="EI652" s="1451"/>
      <c r="EJ652" s="1451"/>
      <c r="EK652" s="1451"/>
      <c r="EL652" s="1451"/>
      <c r="EM652" s="1451" t="e">
        <f t="shared" si="5"/>
        <v>#VALUE!</v>
      </c>
      <c r="EN652" s="1451"/>
      <c r="EO652" s="1451"/>
      <c r="EP652" s="1451"/>
      <c r="EQ652" s="1451"/>
      <c r="ER652" s="1451" t="e">
        <f t="shared" si="6"/>
        <v>#VALUE!</v>
      </c>
      <c r="ES652" s="1451"/>
      <c r="ET652" s="1451"/>
      <c r="EU652" s="1451"/>
      <c r="EV652" s="1451"/>
      <c r="EW652" s="1451" t="e">
        <f t="shared" si="7"/>
        <v>#VALUE!</v>
      </c>
      <c r="EX652" s="1451"/>
      <c r="EY652" s="1451"/>
      <c r="EZ652" s="1451"/>
      <c r="FA652" s="1451"/>
    </row>
    <row r="653" spans="1:157" ht="12.95" customHeight="1">
      <c r="A653" s="22"/>
      <c r="B653" t="s">
        <v>580</v>
      </c>
      <c r="G653" s="1656"/>
      <c r="H653" s="1656"/>
      <c r="I653" s="1656"/>
      <c r="J653" s="1656"/>
      <c r="K653" s="1656"/>
      <c r="L653" s="1656"/>
      <c r="M653" s="1656"/>
      <c r="N653" s="1656"/>
      <c r="O653" s="1656"/>
      <c r="P653" s="1656"/>
      <c r="Q653" s="1656"/>
      <c r="R653" s="1656"/>
      <c r="T653" s="22"/>
      <c r="U653" t="s">
        <v>580</v>
      </c>
      <c r="Z653" s="1656"/>
      <c r="AA653" s="1656"/>
      <c r="AB653" s="1656"/>
      <c r="AC653" s="1656"/>
      <c r="AD653" s="1656"/>
      <c r="AE653" s="1656"/>
      <c r="AF653" s="1656"/>
      <c r="AG653" s="1656"/>
      <c r="AH653" s="1656"/>
      <c r="AI653" s="1656"/>
      <c r="AJ653" s="1656"/>
      <c r="AK653" s="1656"/>
      <c r="AZ653" s="34"/>
      <c r="BA653" s="34"/>
      <c r="BB653" s="34"/>
      <c r="BC653" s="34"/>
      <c r="BD653" s="34"/>
      <c r="BE653" s="34"/>
      <c r="BF653" s="34"/>
      <c r="BG653" s="34"/>
      <c r="BH653" s="34"/>
      <c r="BI653" s="34"/>
      <c r="BJ653" s="34"/>
      <c r="BK653" s="34"/>
      <c r="BL653" s="34"/>
      <c r="BM653" s="34"/>
      <c r="DX653" s="1451" t="e">
        <f t="shared" si="2"/>
        <v>#VALUE!</v>
      </c>
      <c r="DY653" s="1451"/>
      <c r="DZ653" s="1451"/>
      <c r="EA653" s="1451"/>
      <c r="EB653" s="1451"/>
      <c r="EC653" s="1451" t="e">
        <f t="shared" si="3"/>
        <v>#VALUE!</v>
      </c>
      <c r="ED653" s="1451"/>
      <c r="EE653" s="1451"/>
      <c r="EF653" s="1451"/>
      <c r="EG653" s="1451"/>
      <c r="EH653" s="1451" t="e">
        <f t="shared" si="4"/>
        <v>#VALUE!</v>
      </c>
      <c r="EI653" s="1451"/>
      <c r="EJ653" s="1451"/>
      <c r="EK653" s="1451"/>
      <c r="EL653" s="1451"/>
      <c r="EM653" s="1451" t="e">
        <f t="shared" si="5"/>
        <v>#VALUE!</v>
      </c>
      <c r="EN653" s="1451"/>
      <c r="EO653" s="1451"/>
      <c r="EP653" s="1451"/>
      <c r="EQ653" s="1451"/>
      <c r="ER653" s="1451" t="e">
        <f t="shared" si="6"/>
        <v>#VALUE!</v>
      </c>
      <c r="ES653" s="1451"/>
      <c r="ET653" s="1451"/>
      <c r="EU653" s="1451"/>
      <c r="EV653" s="1451"/>
      <c r="EW653" s="1451" t="e">
        <f t="shared" si="7"/>
        <v>#VALUE!</v>
      </c>
      <c r="EX653" s="1451"/>
      <c r="EY653" s="1451"/>
      <c r="EZ653" s="1451"/>
      <c r="FA653" s="1451"/>
    </row>
    <row r="654" spans="1:157" ht="12.95" customHeight="1">
      <c r="A654" s="22"/>
      <c r="B654" t="s">
        <v>17</v>
      </c>
      <c r="G654" s="1656"/>
      <c r="H654" s="1656"/>
      <c r="I654" s="1656"/>
      <c r="J654" s="1656"/>
      <c r="K654" s="1656"/>
      <c r="L654" s="1656"/>
      <c r="M654" s="1656"/>
      <c r="N654" s="1656"/>
      <c r="O654" s="1656"/>
      <c r="P654" s="1656"/>
      <c r="Q654" s="1656"/>
      <c r="R654" s="1656"/>
      <c r="T654" s="22"/>
      <c r="U654" t="s">
        <v>17</v>
      </c>
      <c r="Z654" s="1656"/>
      <c r="AA654" s="1656"/>
      <c r="AB654" s="1656"/>
      <c r="AC654" s="1656"/>
      <c r="AD654" s="1656"/>
      <c r="AE654" s="1656"/>
      <c r="AF654" s="1656"/>
      <c r="AG654" s="1656"/>
      <c r="AH654" s="1656"/>
      <c r="AI654" s="1656"/>
      <c r="AJ654" s="1656"/>
      <c r="AK654" s="1656"/>
      <c r="AZ654" s="34"/>
      <c r="BA654" s="34"/>
      <c r="BB654" s="34"/>
      <c r="BC654" s="34"/>
      <c r="BD654" s="34"/>
      <c r="BE654" s="34"/>
      <c r="BF654" s="34"/>
      <c r="BG654" s="34"/>
      <c r="BH654" s="34"/>
      <c r="BI654" s="34"/>
      <c r="BJ654" s="34"/>
      <c r="BK654" s="34"/>
      <c r="BL654" s="34"/>
      <c r="BM654" s="34"/>
      <c r="DX654" s="1451" t="e">
        <f t="shared" si="2"/>
        <v>#VALUE!</v>
      </c>
      <c r="DY654" s="1451"/>
      <c r="DZ654" s="1451"/>
      <c r="EA654" s="1451"/>
      <c r="EB654" s="1451"/>
      <c r="EC654" s="1451" t="e">
        <f t="shared" si="3"/>
        <v>#VALUE!</v>
      </c>
      <c r="ED654" s="1451"/>
      <c r="EE654" s="1451"/>
      <c r="EF654" s="1451"/>
      <c r="EG654" s="1451"/>
      <c r="EH654" s="1451" t="e">
        <f t="shared" si="4"/>
        <v>#VALUE!</v>
      </c>
      <c r="EI654" s="1451"/>
      <c r="EJ654" s="1451"/>
      <c r="EK654" s="1451"/>
      <c r="EL654" s="1451"/>
      <c r="EM654" s="1451" t="e">
        <f t="shared" si="5"/>
        <v>#VALUE!</v>
      </c>
      <c r="EN654" s="1451"/>
      <c r="EO654" s="1451"/>
      <c r="EP654" s="1451"/>
      <c r="EQ654" s="1451"/>
      <c r="ER654" s="1451" t="e">
        <f t="shared" si="6"/>
        <v>#VALUE!</v>
      </c>
      <c r="ES654" s="1451"/>
      <c r="ET654" s="1451"/>
      <c r="EU654" s="1451"/>
      <c r="EV654" s="1451"/>
      <c r="EW654" s="1451" t="e">
        <f t="shared" si="7"/>
        <v>#VALUE!</v>
      </c>
      <c r="EX654" s="1451"/>
      <c r="EY654" s="1451"/>
      <c r="EZ654" s="1451"/>
      <c r="FA654" s="1451"/>
    </row>
    <row r="655" spans="1:157" ht="12.95" customHeight="1">
      <c r="A655" s="22"/>
      <c r="B655" t="s">
        <v>316</v>
      </c>
      <c r="G655" s="1410"/>
      <c r="H655" s="1410"/>
      <c r="I655" s="1410"/>
      <c r="J655" s="1410"/>
      <c r="K655" s="1410"/>
      <c r="L655" s="1410"/>
      <c r="O655" s="33" t="s">
        <v>206</v>
      </c>
      <c r="P655" s="1441"/>
      <c r="Q655" s="1441"/>
      <c r="R655" s="1441"/>
      <c r="T655" s="22"/>
      <c r="U655" t="s">
        <v>316</v>
      </c>
      <c r="Z655" s="1410"/>
      <c r="AA655" s="1410"/>
      <c r="AB655" s="1410"/>
      <c r="AC655" s="1410"/>
      <c r="AD655" s="1410"/>
      <c r="AE655" s="1410"/>
      <c r="AH655" s="33" t="s">
        <v>206</v>
      </c>
      <c r="AI655" s="1441"/>
      <c r="AJ655" s="1441"/>
      <c r="AK655" s="1441"/>
      <c r="AZ655" s="34"/>
      <c r="BA655" s="34"/>
      <c r="BB655" s="34"/>
      <c r="BC655" s="34"/>
      <c r="BD655" s="34"/>
      <c r="BE655" s="34"/>
      <c r="BF655" s="34"/>
      <c r="BG655" s="34"/>
      <c r="BH655" s="34"/>
      <c r="BI655" s="34"/>
      <c r="BJ655" s="34"/>
      <c r="BK655" s="34"/>
      <c r="BL655" s="34"/>
      <c r="BM655" s="34"/>
      <c r="DX655" s="1451" t="e">
        <f t="shared" si="2"/>
        <v>#VALUE!</v>
      </c>
      <c r="DY655" s="1451"/>
      <c r="DZ655" s="1451"/>
      <c r="EA655" s="1451"/>
      <c r="EB655" s="1451"/>
      <c r="EC655" s="1451" t="e">
        <f t="shared" si="3"/>
        <v>#VALUE!</v>
      </c>
      <c r="ED655" s="1451"/>
      <c r="EE655" s="1451"/>
      <c r="EF655" s="1451"/>
      <c r="EG655" s="1451"/>
      <c r="EH655" s="1451" t="e">
        <f t="shared" si="4"/>
        <v>#VALUE!</v>
      </c>
      <c r="EI655" s="1451"/>
      <c r="EJ655" s="1451"/>
      <c r="EK655" s="1451"/>
      <c r="EL655" s="1451"/>
      <c r="EM655" s="1451" t="e">
        <f t="shared" si="5"/>
        <v>#VALUE!</v>
      </c>
      <c r="EN655" s="1451"/>
      <c r="EO655" s="1451"/>
      <c r="EP655" s="1451"/>
      <c r="EQ655" s="1451"/>
      <c r="ER655" s="1451" t="e">
        <f t="shared" si="6"/>
        <v>#VALUE!</v>
      </c>
      <c r="ES655" s="1451"/>
      <c r="ET655" s="1451"/>
      <c r="EU655" s="1451"/>
      <c r="EV655" s="1451"/>
      <c r="EW655" s="1451" t="e">
        <f t="shared" si="7"/>
        <v>#VALUE!</v>
      </c>
      <c r="EX655" s="1451"/>
      <c r="EY655" s="1451"/>
      <c r="EZ655" s="1451"/>
      <c r="FA655" s="1451"/>
    </row>
    <row r="656" spans="1:157" ht="12.95" customHeight="1">
      <c r="A656" s="22"/>
      <c r="B656" t="s">
        <v>18</v>
      </c>
      <c r="H656" s="1339"/>
      <c r="I656" s="1339"/>
      <c r="J656" s="1339"/>
      <c r="K656" s="1339"/>
      <c r="L656" s="1339"/>
      <c r="M656" s="1339"/>
      <c r="N656" s="1339"/>
      <c r="O656" s="1339"/>
      <c r="P656" s="1339"/>
      <c r="Q656" s="1339"/>
      <c r="R656" s="1339"/>
      <c r="T656" s="22"/>
      <c r="U656" t="s">
        <v>18</v>
      </c>
      <c r="AA656" s="1339"/>
      <c r="AB656" s="1339"/>
      <c r="AC656" s="1339"/>
      <c r="AD656" s="1339"/>
      <c r="AE656" s="1339"/>
      <c r="AF656" s="1339"/>
      <c r="AG656" s="1339"/>
      <c r="AH656" s="1339"/>
      <c r="AI656" s="1339"/>
      <c r="AJ656" s="1339"/>
      <c r="AK656" s="1339"/>
      <c r="AZ656" s="34"/>
      <c r="BA656" s="34"/>
      <c r="BB656" s="34"/>
      <c r="BC656" s="34"/>
      <c r="BD656" s="34"/>
      <c r="BE656" s="34"/>
      <c r="BF656" s="34"/>
      <c r="BG656" s="34"/>
      <c r="BH656" s="34"/>
      <c r="BI656" s="34"/>
      <c r="BJ656" s="34"/>
      <c r="BK656" s="34"/>
      <c r="BL656" s="34"/>
      <c r="BM656" s="34"/>
      <c r="DX656" s="1451" t="e">
        <f t="shared" si="2"/>
        <v>#VALUE!</v>
      </c>
      <c r="DY656" s="1451"/>
      <c r="DZ656" s="1451"/>
      <c r="EA656" s="1451"/>
      <c r="EB656" s="1451"/>
      <c r="EC656" s="1451" t="e">
        <f t="shared" si="3"/>
        <v>#VALUE!</v>
      </c>
      <c r="ED656" s="1451"/>
      <c r="EE656" s="1451"/>
      <c r="EF656" s="1451"/>
      <c r="EG656" s="1451"/>
      <c r="EH656" s="1451" t="e">
        <f t="shared" si="4"/>
        <v>#VALUE!</v>
      </c>
      <c r="EI656" s="1451"/>
      <c r="EJ656" s="1451"/>
      <c r="EK656" s="1451"/>
      <c r="EL656" s="1451"/>
      <c r="EM656" s="1451" t="e">
        <f t="shared" si="5"/>
        <v>#VALUE!</v>
      </c>
      <c r="EN656" s="1451"/>
      <c r="EO656" s="1451"/>
      <c r="EP656" s="1451"/>
      <c r="EQ656" s="1451"/>
      <c r="ER656" s="1451" t="e">
        <f t="shared" si="6"/>
        <v>#VALUE!</v>
      </c>
      <c r="ES656" s="1451"/>
      <c r="ET656" s="1451"/>
      <c r="EU656" s="1451"/>
      <c r="EV656" s="1451"/>
      <c r="EW656" s="1451" t="e">
        <f t="shared" si="7"/>
        <v>#VALUE!</v>
      </c>
      <c r="EX656" s="1451"/>
      <c r="EY656" s="1451"/>
      <c r="EZ656" s="1451"/>
      <c r="FA656" s="1451"/>
    </row>
    <row r="657" spans="1:157" ht="12.95" customHeight="1">
      <c r="A657" s="22"/>
      <c r="B657" t="s">
        <v>20</v>
      </c>
      <c r="N657" s="1331" t="s">
        <v>669</v>
      </c>
      <c r="O657" s="1331"/>
      <c r="T657" s="22"/>
      <c r="U657" t="s">
        <v>20</v>
      </c>
      <c r="AG657" s="1331" t="s">
        <v>669</v>
      </c>
      <c r="AH657" s="1331"/>
      <c r="AZ657" s="34"/>
      <c r="BA657" s="34"/>
      <c r="BB657" s="34"/>
      <c r="BC657" s="34"/>
      <c r="BD657" s="34"/>
      <c r="BE657" s="34"/>
      <c r="BF657" s="34"/>
      <c r="BG657" s="34"/>
      <c r="BH657" s="34"/>
      <c r="BI657" s="34"/>
      <c r="BJ657" s="34"/>
      <c r="BK657" s="34"/>
      <c r="BL657" s="34"/>
      <c r="BM657" s="34"/>
      <c r="DX657" s="1451" t="e">
        <f t="shared" si="2"/>
        <v>#VALUE!</v>
      </c>
      <c r="DY657" s="1451"/>
      <c r="DZ657" s="1451"/>
      <c r="EA657" s="1451"/>
      <c r="EB657" s="1451"/>
      <c r="EC657" s="1451" t="e">
        <f t="shared" si="3"/>
        <v>#VALUE!</v>
      </c>
      <c r="ED657" s="1451"/>
      <c r="EE657" s="1451"/>
      <c r="EF657" s="1451"/>
      <c r="EG657" s="1451"/>
      <c r="EH657" s="1451" t="e">
        <f t="shared" si="4"/>
        <v>#VALUE!</v>
      </c>
      <c r="EI657" s="1451"/>
      <c r="EJ657" s="1451"/>
      <c r="EK657" s="1451"/>
      <c r="EL657" s="1451"/>
      <c r="EM657" s="1451" t="e">
        <f t="shared" si="5"/>
        <v>#VALUE!</v>
      </c>
      <c r="EN657" s="1451"/>
      <c r="EO657" s="1451"/>
      <c r="EP657" s="1451"/>
      <c r="EQ657" s="1451"/>
      <c r="ER657" s="1451" t="e">
        <f t="shared" si="6"/>
        <v>#VALUE!</v>
      </c>
      <c r="ES657" s="1451"/>
      <c r="ET657" s="1451"/>
      <c r="EU657" s="1451"/>
      <c r="EV657" s="1451"/>
      <c r="EW657" s="1451" t="e">
        <f t="shared" si="7"/>
        <v>#VALUE!</v>
      </c>
      <c r="EX657" s="1451"/>
      <c r="EY657" s="1451"/>
      <c r="EZ657" s="1451"/>
      <c r="FA657" s="1451"/>
    </row>
    <row r="658" spans="1:157" ht="12.95" customHeight="1">
      <c r="A658" s="22"/>
      <c r="T658" s="22"/>
      <c r="AZ658" s="34"/>
      <c r="BA658" s="34"/>
      <c r="BB658" s="34"/>
      <c r="BC658" s="34"/>
      <c r="BD658" s="34"/>
      <c r="BE658" s="34"/>
      <c r="BF658" s="34"/>
      <c r="BG658" s="34"/>
      <c r="BH658" s="34"/>
      <c r="BI658" s="34"/>
      <c r="BJ658" s="34"/>
      <c r="BK658" s="34"/>
      <c r="BL658" s="34"/>
      <c r="BM658" s="34"/>
      <c r="DX658" s="1451" t="e">
        <f t="shared" si="2"/>
        <v>#VALUE!</v>
      </c>
      <c r="DY658" s="1451"/>
      <c r="DZ658" s="1451"/>
      <c r="EA658" s="1451"/>
      <c r="EB658" s="1451"/>
      <c r="EC658" s="1451" t="e">
        <f t="shared" si="3"/>
        <v>#VALUE!</v>
      </c>
      <c r="ED658" s="1451"/>
      <c r="EE658" s="1451"/>
      <c r="EF658" s="1451"/>
      <c r="EG658" s="1451"/>
      <c r="EH658" s="1451" t="e">
        <f t="shared" si="4"/>
        <v>#VALUE!</v>
      </c>
      <c r="EI658" s="1451"/>
      <c r="EJ658" s="1451"/>
      <c r="EK658" s="1451"/>
      <c r="EL658" s="1451"/>
      <c r="EM658" s="1451" t="e">
        <f t="shared" si="5"/>
        <v>#VALUE!</v>
      </c>
      <c r="EN658" s="1451"/>
      <c r="EO658" s="1451"/>
      <c r="EP658" s="1451"/>
      <c r="EQ658" s="1451"/>
      <c r="ER658" s="1451" t="e">
        <f t="shared" si="6"/>
        <v>#VALUE!</v>
      </c>
      <c r="ES658" s="1451"/>
      <c r="ET658" s="1451"/>
      <c r="EU658" s="1451"/>
      <c r="EV658" s="1451"/>
      <c r="EW658" s="1451" t="e">
        <f t="shared" si="7"/>
        <v>#VALUE!</v>
      </c>
      <c r="EX658" s="1451"/>
      <c r="EY658" s="1451"/>
      <c r="EZ658" s="1451"/>
      <c r="FA658" s="1451"/>
    </row>
    <row r="659" spans="1:157" ht="12.95" customHeight="1">
      <c r="A659" s="55" t="s">
        <v>763</v>
      </c>
      <c r="B659" t="s">
        <v>463</v>
      </c>
      <c r="G659" s="1385">
        <f>C631</f>
        <v>0</v>
      </c>
      <c r="H659" s="1385"/>
      <c r="I659" s="1385"/>
      <c r="J659" s="1385"/>
      <c r="K659" s="1385"/>
      <c r="L659" s="1385"/>
      <c r="M659" s="1385"/>
      <c r="N659" s="1385"/>
      <c r="O659" s="1385"/>
      <c r="P659" s="1385"/>
      <c r="Q659" s="1385"/>
      <c r="R659" s="1385"/>
      <c r="T659" s="55" t="s">
        <v>584</v>
      </c>
      <c r="U659" t="s">
        <v>463</v>
      </c>
      <c r="Z659" s="1385">
        <f>C632</f>
        <v>0</v>
      </c>
      <c r="AA659" s="1385"/>
      <c r="AB659" s="1385"/>
      <c r="AC659" s="1385"/>
      <c r="AD659" s="1385"/>
      <c r="AE659" s="1385"/>
      <c r="AF659" s="1385"/>
      <c r="AG659" s="1385"/>
      <c r="AH659" s="1385"/>
      <c r="AI659" s="1385"/>
      <c r="AJ659" s="1385"/>
      <c r="AK659" s="1385"/>
      <c r="AZ659" s="34"/>
      <c r="BA659" s="34"/>
      <c r="BB659" s="34"/>
      <c r="BC659" s="34"/>
      <c r="BD659" s="34"/>
      <c r="BE659" s="34"/>
      <c r="BF659" s="34"/>
      <c r="BG659" s="34"/>
      <c r="BH659" s="34"/>
      <c r="BI659" s="34"/>
      <c r="BJ659" s="34"/>
      <c r="BK659" s="34"/>
      <c r="BL659" s="34"/>
      <c r="BM659" s="34"/>
      <c r="DX659" s="1451" t="e">
        <f t="shared" si="2"/>
        <v>#VALUE!</v>
      </c>
      <c r="DY659" s="1451"/>
      <c r="DZ659" s="1451"/>
      <c r="EA659" s="1451"/>
      <c r="EB659" s="1451"/>
      <c r="EC659" s="1451" t="e">
        <f t="shared" si="3"/>
        <v>#VALUE!</v>
      </c>
      <c r="ED659" s="1451"/>
      <c r="EE659" s="1451"/>
      <c r="EF659" s="1451"/>
      <c r="EG659" s="1451"/>
      <c r="EH659" s="1451" t="e">
        <f t="shared" si="4"/>
        <v>#VALUE!</v>
      </c>
      <c r="EI659" s="1451"/>
      <c r="EJ659" s="1451"/>
      <c r="EK659" s="1451"/>
      <c r="EL659" s="1451"/>
      <c r="EM659" s="1451" t="e">
        <f t="shared" si="5"/>
        <v>#VALUE!</v>
      </c>
      <c r="EN659" s="1451"/>
      <c r="EO659" s="1451"/>
      <c r="EP659" s="1451"/>
      <c r="EQ659" s="1451"/>
      <c r="ER659" s="1451" t="e">
        <f t="shared" si="6"/>
        <v>#VALUE!</v>
      </c>
      <c r="ES659" s="1451"/>
      <c r="ET659" s="1451"/>
      <c r="EU659" s="1451"/>
      <c r="EV659" s="1451"/>
      <c r="EW659" s="1451" t="e">
        <f t="shared" si="7"/>
        <v>#VALUE!</v>
      </c>
      <c r="EX659" s="1451"/>
      <c r="EY659" s="1451"/>
      <c r="EZ659" s="1451"/>
      <c r="FA659" s="1451"/>
    </row>
    <row r="660" spans="1:157" ht="12.95" customHeight="1">
      <c r="A660" s="22"/>
      <c r="B660" t="s">
        <v>85</v>
      </c>
      <c r="G660" s="1339"/>
      <c r="H660" s="1339"/>
      <c r="I660" s="1339"/>
      <c r="J660" s="1339"/>
      <c r="K660" s="1339"/>
      <c r="L660" s="1339"/>
      <c r="M660" s="1339"/>
      <c r="N660" s="1339"/>
      <c r="O660" s="1339"/>
      <c r="P660" s="1339"/>
      <c r="Q660" s="1339"/>
      <c r="R660" s="1339"/>
      <c r="T660" s="22"/>
      <c r="U660" t="s">
        <v>85</v>
      </c>
      <c r="Z660" s="1339"/>
      <c r="AA660" s="1339"/>
      <c r="AB660" s="1339"/>
      <c r="AC660" s="1339"/>
      <c r="AD660" s="1339"/>
      <c r="AE660" s="1339"/>
      <c r="AF660" s="1339"/>
      <c r="AG660" s="1339"/>
      <c r="AH660" s="1339"/>
      <c r="AI660" s="1339"/>
      <c r="AJ660" s="1339"/>
      <c r="AK660" s="1339"/>
      <c r="AZ660" s="34"/>
      <c r="BA660" s="34"/>
      <c r="BB660" s="34"/>
      <c r="BC660" s="34"/>
      <c r="BD660" s="34"/>
      <c r="BE660" s="34"/>
      <c r="BF660" s="34"/>
      <c r="BG660" s="34"/>
      <c r="BH660" s="34"/>
      <c r="BI660" s="34"/>
      <c r="BJ660" s="34"/>
      <c r="BK660" s="34"/>
      <c r="BL660" s="34"/>
      <c r="BM660" s="34"/>
      <c r="DX660" s="1451" t="e">
        <f t="shared" si="2"/>
        <v>#VALUE!</v>
      </c>
      <c r="DY660" s="1451"/>
      <c r="DZ660" s="1451"/>
      <c r="EA660" s="1451"/>
      <c r="EB660" s="1451"/>
      <c r="EC660" s="1451" t="e">
        <f t="shared" si="3"/>
        <v>#VALUE!</v>
      </c>
      <c r="ED660" s="1451"/>
      <c r="EE660" s="1451"/>
      <c r="EF660" s="1451"/>
      <c r="EG660" s="1451"/>
      <c r="EH660" s="1451" t="e">
        <f t="shared" si="4"/>
        <v>#VALUE!</v>
      </c>
      <c r="EI660" s="1451"/>
      <c r="EJ660" s="1451"/>
      <c r="EK660" s="1451"/>
      <c r="EL660" s="1451"/>
      <c r="EM660" s="1451" t="e">
        <f t="shared" si="5"/>
        <v>#VALUE!</v>
      </c>
      <c r="EN660" s="1451"/>
      <c r="EO660" s="1451"/>
      <c r="EP660" s="1451"/>
      <c r="EQ660" s="1451"/>
      <c r="ER660" s="1451" t="e">
        <f t="shared" si="6"/>
        <v>#VALUE!</v>
      </c>
      <c r="ES660" s="1451"/>
      <c r="ET660" s="1451"/>
      <c r="EU660" s="1451"/>
      <c r="EV660" s="1451"/>
      <c r="EW660" s="1451" t="e">
        <f t="shared" si="7"/>
        <v>#VALUE!</v>
      </c>
      <c r="EX660" s="1451"/>
      <c r="EY660" s="1451"/>
      <c r="EZ660" s="1451"/>
      <c r="FA660" s="1451"/>
    </row>
    <row r="661" spans="1:157" ht="12.95" customHeight="1">
      <c r="A661" s="22"/>
      <c r="B661" t="s">
        <v>580</v>
      </c>
      <c r="G661" s="1339"/>
      <c r="H661" s="1339"/>
      <c r="I661" s="1339"/>
      <c r="J661" s="1339"/>
      <c r="K661" s="1339"/>
      <c r="L661" s="1339"/>
      <c r="M661" s="1339"/>
      <c r="N661" s="1339"/>
      <c r="O661" s="1339"/>
      <c r="P661" s="1339"/>
      <c r="Q661" s="1339"/>
      <c r="R661" s="1339"/>
      <c r="T661" s="22"/>
      <c r="U661" t="s">
        <v>580</v>
      </c>
      <c r="Z661" s="1656"/>
      <c r="AA661" s="1656"/>
      <c r="AB661" s="1656"/>
      <c r="AC661" s="1656"/>
      <c r="AD661" s="1656"/>
      <c r="AE661" s="1656"/>
      <c r="AF661" s="1656"/>
      <c r="AG661" s="1656"/>
      <c r="AH661" s="1656"/>
      <c r="AI661" s="1656"/>
      <c r="AJ661" s="1656"/>
      <c r="AK661" s="1656"/>
      <c r="AZ661" s="34"/>
      <c r="BA661" s="34"/>
      <c r="BB661" s="34"/>
      <c r="BC661" s="34"/>
      <c r="BD661" s="34"/>
      <c r="BE661" s="34"/>
      <c r="BF661" s="34"/>
      <c r="BG661" s="34"/>
      <c r="BH661" s="34"/>
      <c r="BI661" s="34"/>
      <c r="BJ661" s="34"/>
      <c r="BK661" s="34"/>
      <c r="BL661" s="34"/>
      <c r="BM661" s="34"/>
      <c r="DX661" s="1451" t="e">
        <f t="shared" si="2"/>
        <v>#VALUE!</v>
      </c>
      <c r="DY661" s="1451"/>
      <c r="DZ661" s="1451"/>
      <c r="EA661" s="1451"/>
      <c r="EB661" s="1451"/>
      <c r="EC661" s="1451" t="e">
        <f t="shared" si="3"/>
        <v>#VALUE!</v>
      </c>
      <c r="ED661" s="1451"/>
      <c r="EE661" s="1451"/>
      <c r="EF661" s="1451"/>
      <c r="EG661" s="1451"/>
      <c r="EH661" s="1451" t="e">
        <f t="shared" si="4"/>
        <v>#VALUE!</v>
      </c>
      <c r="EI661" s="1451"/>
      <c r="EJ661" s="1451"/>
      <c r="EK661" s="1451"/>
      <c r="EL661" s="1451"/>
      <c r="EM661" s="1451" t="e">
        <f t="shared" si="5"/>
        <v>#VALUE!</v>
      </c>
      <c r="EN661" s="1451"/>
      <c r="EO661" s="1451"/>
      <c r="EP661" s="1451"/>
      <c r="EQ661" s="1451"/>
      <c r="ER661" s="1451" t="e">
        <f t="shared" si="6"/>
        <v>#VALUE!</v>
      </c>
      <c r="ES661" s="1451"/>
      <c r="ET661" s="1451"/>
      <c r="EU661" s="1451"/>
      <c r="EV661" s="1451"/>
      <c r="EW661" s="1451" t="e">
        <f t="shared" si="7"/>
        <v>#VALUE!</v>
      </c>
      <c r="EX661" s="1451"/>
      <c r="EY661" s="1451"/>
      <c r="EZ661" s="1451"/>
      <c r="FA661" s="1451"/>
    </row>
    <row r="662" spans="1:157" ht="12.95" customHeight="1">
      <c r="A662" s="22"/>
      <c r="B662" t="s">
        <v>17</v>
      </c>
      <c r="G662" s="1339"/>
      <c r="H662" s="1339"/>
      <c r="I662" s="1339"/>
      <c r="J662" s="1339"/>
      <c r="K662" s="1339"/>
      <c r="L662" s="1339"/>
      <c r="M662" s="1339"/>
      <c r="N662" s="1339"/>
      <c r="O662" s="1339"/>
      <c r="P662" s="1339"/>
      <c r="Q662" s="1339"/>
      <c r="R662" s="1339"/>
      <c r="T662" s="22"/>
      <c r="U662" t="s">
        <v>17</v>
      </c>
      <c r="Z662" s="1656"/>
      <c r="AA662" s="1656"/>
      <c r="AB662" s="1656"/>
      <c r="AC662" s="1656"/>
      <c r="AD662" s="1656"/>
      <c r="AE662" s="1656"/>
      <c r="AF662" s="1656"/>
      <c r="AG662" s="1656"/>
      <c r="AH662" s="1656"/>
      <c r="AI662" s="1656"/>
      <c r="AJ662" s="1656"/>
      <c r="AK662" s="165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51" t="e">
        <f t="shared" si="2"/>
        <v>#VALUE!</v>
      </c>
      <c r="DY662" s="1451"/>
      <c r="DZ662" s="1451"/>
      <c r="EA662" s="1451"/>
      <c r="EB662" s="1451"/>
      <c r="EC662" s="1451" t="e">
        <f t="shared" si="3"/>
        <v>#VALUE!</v>
      </c>
      <c r="ED662" s="1451"/>
      <c r="EE662" s="1451"/>
      <c r="EF662" s="1451"/>
      <c r="EG662" s="1451"/>
      <c r="EH662" s="1451" t="e">
        <f t="shared" si="4"/>
        <v>#VALUE!</v>
      </c>
      <c r="EI662" s="1451"/>
      <c r="EJ662" s="1451"/>
      <c r="EK662" s="1451"/>
      <c r="EL662" s="1451"/>
      <c r="EM662" s="1451" t="e">
        <f t="shared" si="5"/>
        <v>#VALUE!</v>
      </c>
      <c r="EN662" s="1451"/>
      <c r="EO662" s="1451"/>
      <c r="EP662" s="1451"/>
      <c r="EQ662" s="1451"/>
      <c r="ER662" s="1451" t="e">
        <f t="shared" si="6"/>
        <v>#VALUE!</v>
      </c>
      <c r="ES662" s="1451"/>
      <c r="ET662" s="1451"/>
      <c r="EU662" s="1451"/>
      <c r="EV662" s="1451"/>
      <c r="EW662" s="1451" t="e">
        <f t="shared" si="7"/>
        <v>#VALUE!</v>
      </c>
      <c r="EX662" s="1451"/>
      <c r="EY662" s="1451"/>
      <c r="EZ662" s="1451"/>
      <c r="FA662" s="1451"/>
    </row>
    <row r="663" spans="1:157" ht="12.95" customHeight="1">
      <c r="A663" s="22"/>
      <c r="B663" t="s">
        <v>316</v>
      </c>
      <c r="G663" s="1410"/>
      <c r="H663" s="1410"/>
      <c r="I663" s="1410"/>
      <c r="J663" s="1410"/>
      <c r="K663" s="1410"/>
      <c r="L663" s="1410"/>
      <c r="O663" s="33" t="s">
        <v>206</v>
      </c>
      <c r="P663" s="1441"/>
      <c r="Q663" s="1441"/>
      <c r="R663" s="1441"/>
      <c r="T663" s="22"/>
      <c r="U663" t="s">
        <v>316</v>
      </c>
      <c r="Z663" s="1410"/>
      <c r="AA663" s="1410"/>
      <c r="AB663" s="1410"/>
      <c r="AC663" s="1410"/>
      <c r="AD663" s="1410"/>
      <c r="AE663" s="1410"/>
      <c r="AH663" s="33" t="s">
        <v>206</v>
      </c>
      <c r="AI663" s="1441"/>
      <c r="AJ663" s="1441"/>
      <c r="AK663" s="144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51" t="e">
        <f t="shared" si="2"/>
        <v>#VALUE!</v>
      </c>
      <c r="DY663" s="1451"/>
      <c r="DZ663" s="1451"/>
      <c r="EA663" s="1451"/>
      <c r="EB663" s="1451"/>
      <c r="EC663" s="1451" t="e">
        <f t="shared" si="3"/>
        <v>#VALUE!</v>
      </c>
      <c r="ED663" s="1451"/>
      <c r="EE663" s="1451"/>
      <c r="EF663" s="1451"/>
      <c r="EG663" s="1451"/>
      <c r="EH663" s="1451" t="e">
        <f t="shared" si="4"/>
        <v>#VALUE!</v>
      </c>
      <c r="EI663" s="1451"/>
      <c r="EJ663" s="1451"/>
      <c r="EK663" s="1451"/>
      <c r="EL663" s="1451"/>
      <c r="EM663" s="1451" t="e">
        <f t="shared" si="5"/>
        <v>#VALUE!</v>
      </c>
      <c r="EN663" s="1451"/>
      <c r="EO663" s="1451"/>
      <c r="EP663" s="1451"/>
      <c r="EQ663" s="1451"/>
      <c r="ER663" s="1451" t="e">
        <f t="shared" si="6"/>
        <v>#VALUE!</v>
      </c>
      <c r="ES663" s="1451"/>
      <c r="ET663" s="1451"/>
      <c r="EU663" s="1451"/>
      <c r="EV663" s="1451"/>
      <c r="EW663" s="1451" t="e">
        <f t="shared" si="7"/>
        <v>#VALUE!</v>
      </c>
      <c r="EX663" s="1451"/>
      <c r="EY663" s="1451"/>
      <c r="EZ663" s="1451"/>
      <c r="FA663" s="1451"/>
    </row>
    <row r="664" spans="1:157" ht="12.95" customHeight="1">
      <c r="A664" s="22"/>
      <c r="B664" t="s">
        <v>18</v>
      </c>
      <c r="H664" s="1339"/>
      <c r="I664" s="1339"/>
      <c r="J664" s="1339"/>
      <c r="K664" s="1339"/>
      <c r="L664" s="1339"/>
      <c r="M664" s="1339"/>
      <c r="N664" s="1339"/>
      <c r="O664" s="1339"/>
      <c r="P664" s="1339"/>
      <c r="Q664" s="1339"/>
      <c r="R664" s="1339"/>
      <c r="T664" s="22"/>
      <c r="U664" t="s">
        <v>18</v>
      </c>
      <c r="AA664" s="1339"/>
      <c r="AB664" s="1339"/>
      <c r="AC664" s="1339"/>
      <c r="AD664" s="1339"/>
      <c r="AE664" s="1339"/>
      <c r="AF664" s="1339"/>
      <c r="AG664" s="1339"/>
      <c r="AH664" s="1339"/>
      <c r="AI664" s="1339"/>
      <c r="AJ664" s="1339"/>
      <c r="AK664" s="133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51" t="e">
        <f t="shared" si="2"/>
        <v>#VALUE!</v>
      </c>
      <c r="DY664" s="1451"/>
      <c r="DZ664" s="1451"/>
      <c r="EA664" s="1451"/>
      <c r="EB664" s="1451"/>
      <c r="EC664" s="1451" t="e">
        <f t="shared" si="3"/>
        <v>#VALUE!</v>
      </c>
      <c r="ED664" s="1451"/>
      <c r="EE664" s="1451"/>
      <c r="EF664" s="1451"/>
      <c r="EG664" s="1451"/>
      <c r="EH664" s="1451" t="e">
        <f t="shared" si="4"/>
        <v>#VALUE!</v>
      </c>
      <c r="EI664" s="1451"/>
      <c r="EJ664" s="1451"/>
      <c r="EK664" s="1451"/>
      <c r="EL664" s="1451"/>
      <c r="EM664" s="1451" t="e">
        <f t="shared" si="5"/>
        <v>#VALUE!</v>
      </c>
      <c r="EN664" s="1451"/>
      <c r="EO664" s="1451"/>
      <c r="EP664" s="1451"/>
      <c r="EQ664" s="1451"/>
      <c r="ER664" s="1451" t="e">
        <f t="shared" si="6"/>
        <v>#VALUE!</v>
      </c>
      <c r="ES664" s="1451"/>
      <c r="ET664" s="1451"/>
      <c r="EU664" s="1451"/>
      <c r="EV664" s="1451"/>
      <c r="EW664" s="1451" t="e">
        <f t="shared" si="7"/>
        <v>#VALUE!</v>
      </c>
      <c r="EX664" s="1451"/>
      <c r="EY664" s="1451"/>
      <c r="EZ664" s="1451"/>
      <c r="FA664" s="1451"/>
    </row>
    <row r="665" spans="1:157" ht="12.95" customHeight="1">
      <c r="A665" s="22"/>
      <c r="B665" t="s">
        <v>20</v>
      </c>
      <c r="N665" s="1331" t="s">
        <v>669</v>
      </c>
      <c r="O665" s="1331"/>
      <c r="T665" s="22"/>
      <c r="U665" t="s">
        <v>20</v>
      </c>
      <c r="AG665" s="1331" t="s">
        <v>669</v>
      </c>
      <c r="AH665" s="133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51" t="e">
        <f t="shared" si="2"/>
        <v>#VALUE!</v>
      </c>
      <c r="DY665" s="1451"/>
      <c r="DZ665" s="1451"/>
      <c r="EA665" s="1451"/>
      <c r="EB665" s="1451"/>
      <c r="EC665" s="1451" t="e">
        <f t="shared" si="3"/>
        <v>#VALUE!</v>
      </c>
      <c r="ED665" s="1451"/>
      <c r="EE665" s="1451"/>
      <c r="EF665" s="1451"/>
      <c r="EG665" s="1451"/>
      <c r="EH665" s="1451" t="e">
        <f t="shared" si="4"/>
        <v>#VALUE!</v>
      </c>
      <c r="EI665" s="1451"/>
      <c r="EJ665" s="1451"/>
      <c r="EK665" s="1451"/>
      <c r="EL665" s="1451"/>
      <c r="EM665" s="1451" t="e">
        <f t="shared" si="5"/>
        <v>#VALUE!</v>
      </c>
      <c r="EN665" s="1451"/>
      <c r="EO665" s="1451"/>
      <c r="EP665" s="1451"/>
      <c r="EQ665" s="1451"/>
      <c r="ER665" s="1451" t="e">
        <f t="shared" si="6"/>
        <v>#VALUE!</v>
      </c>
      <c r="ES665" s="1451"/>
      <c r="ET665" s="1451"/>
      <c r="EU665" s="1451"/>
      <c r="EV665" s="1451"/>
      <c r="EW665" s="1451" t="e">
        <f t="shared" si="7"/>
        <v>#VALUE!</v>
      </c>
      <c r="EX665" s="1451"/>
      <c r="EY665" s="1451"/>
      <c r="EZ665" s="1451"/>
      <c r="FA665" s="1451"/>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51" t="e">
        <f t="shared" si="2"/>
        <v>#VALUE!</v>
      </c>
      <c r="DY666" s="1451"/>
      <c r="DZ666" s="1451"/>
      <c r="EA666" s="1451"/>
      <c r="EB666" s="1451"/>
      <c r="EC666" s="1451" t="e">
        <f t="shared" si="3"/>
        <v>#VALUE!</v>
      </c>
      <c r="ED666" s="1451"/>
      <c r="EE666" s="1451"/>
      <c r="EF666" s="1451"/>
      <c r="EG666" s="1451"/>
      <c r="EH666" s="1451" t="e">
        <f t="shared" si="4"/>
        <v>#VALUE!</v>
      </c>
      <c r="EI666" s="1451"/>
      <c r="EJ666" s="1451"/>
      <c r="EK666" s="1451"/>
      <c r="EL666" s="1451"/>
      <c r="EM666" s="1451" t="e">
        <f t="shared" si="5"/>
        <v>#VALUE!</v>
      </c>
      <c r="EN666" s="1451"/>
      <c r="EO666" s="1451"/>
      <c r="EP666" s="1451"/>
      <c r="EQ666" s="1451"/>
      <c r="ER666" s="1451" t="e">
        <f t="shared" si="6"/>
        <v>#VALUE!</v>
      </c>
      <c r="ES666" s="1451"/>
      <c r="ET666" s="1451"/>
      <c r="EU666" s="1451"/>
      <c r="EV666" s="1451"/>
      <c r="EW666" s="1451" t="e">
        <f t="shared" si="7"/>
        <v>#VALUE!</v>
      </c>
      <c r="EX666" s="1451"/>
      <c r="EY666" s="1451"/>
      <c r="EZ666" s="1451"/>
      <c r="FA666" s="1451"/>
    </row>
    <row r="667" spans="1:157" ht="12.95" customHeight="1">
      <c r="A667" s="55" t="s">
        <v>455</v>
      </c>
      <c r="B667" t="s">
        <v>463</v>
      </c>
      <c r="G667" s="1385">
        <f>C633</f>
        <v>0</v>
      </c>
      <c r="H667" s="1385"/>
      <c r="I667" s="1385"/>
      <c r="J667" s="1385"/>
      <c r="K667" s="1385"/>
      <c r="L667" s="1385"/>
      <c r="M667" s="1385"/>
      <c r="N667" s="1385"/>
      <c r="O667" s="1385"/>
      <c r="P667" s="1385"/>
      <c r="Q667" s="1385"/>
      <c r="R667" s="1385"/>
      <c r="T667" s="55" t="s">
        <v>456</v>
      </c>
      <c r="U667" t="s">
        <v>463</v>
      </c>
      <c r="Z667" s="1385">
        <f>C634</f>
        <v>0</v>
      </c>
      <c r="AA667" s="1385"/>
      <c r="AB667" s="1385"/>
      <c r="AC667" s="1385"/>
      <c r="AD667" s="1385"/>
      <c r="AE667" s="1385"/>
      <c r="AF667" s="1385"/>
      <c r="AG667" s="1385"/>
      <c r="AH667" s="1385"/>
      <c r="AI667" s="1385"/>
      <c r="AJ667" s="1385"/>
      <c r="AK667" s="1385"/>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51" t="e">
        <f t="shared" si="2"/>
        <v>#VALUE!</v>
      </c>
      <c r="DY667" s="1451"/>
      <c r="DZ667" s="1451"/>
      <c r="EA667" s="1451"/>
      <c r="EB667" s="1451"/>
      <c r="EC667" s="1451" t="e">
        <f t="shared" si="3"/>
        <v>#VALUE!</v>
      </c>
      <c r="ED667" s="1451"/>
      <c r="EE667" s="1451"/>
      <c r="EF667" s="1451"/>
      <c r="EG667" s="1451"/>
      <c r="EH667" s="1451" t="e">
        <f t="shared" si="4"/>
        <v>#VALUE!</v>
      </c>
      <c r="EI667" s="1451"/>
      <c r="EJ667" s="1451"/>
      <c r="EK667" s="1451"/>
      <c r="EL667" s="1451"/>
      <c r="EM667" s="1451" t="e">
        <f t="shared" si="5"/>
        <v>#VALUE!</v>
      </c>
      <c r="EN667" s="1451"/>
      <c r="EO667" s="1451"/>
      <c r="EP667" s="1451"/>
      <c r="EQ667" s="1451"/>
      <c r="ER667" s="1451" t="e">
        <f t="shared" si="6"/>
        <v>#VALUE!</v>
      </c>
      <c r="ES667" s="1451"/>
      <c r="ET667" s="1451"/>
      <c r="EU667" s="1451"/>
      <c r="EV667" s="1451"/>
      <c r="EW667" s="1451" t="e">
        <f t="shared" si="7"/>
        <v>#VALUE!</v>
      </c>
      <c r="EX667" s="1451"/>
      <c r="EY667" s="1451"/>
      <c r="EZ667" s="1451"/>
      <c r="FA667" s="1451"/>
    </row>
    <row r="668" spans="1:157" ht="12.95" customHeight="1">
      <c r="A668" s="22"/>
      <c r="B668" t="s">
        <v>85</v>
      </c>
      <c r="G668" s="1339"/>
      <c r="H668" s="1339"/>
      <c r="I668" s="1339"/>
      <c r="J668" s="1339"/>
      <c r="K668" s="1339"/>
      <c r="L668" s="1339"/>
      <c r="M668" s="1339"/>
      <c r="N668" s="1339"/>
      <c r="O668" s="1339"/>
      <c r="P668" s="1339"/>
      <c r="Q668" s="1339"/>
      <c r="R668" s="1339"/>
      <c r="T668" s="22"/>
      <c r="U668" t="s">
        <v>85</v>
      </c>
      <c r="Z668" s="1339"/>
      <c r="AA668" s="1339"/>
      <c r="AB668" s="1339"/>
      <c r="AC668" s="1339"/>
      <c r="AD668" s="1339"/>
      <c r="AE668" s="1339"/>
      <c r="AF668" s="1339"/>
      <c r="AG668" s="1339"/>
      <c r="AH668" s="1339"/>
      <c r="AI668" s="1339"/>
      <c r="AJ668" s="1339"/>
      <c r="AK668" s="1339"/>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51" t="e">
        <f t="shared" si="2"/>
        <v>#VALUE!</v>
      </c>
      <c r="DY668" s="1451"/>
      <c r="DZ668" s="1451"/>
      <c r="EA668" s="1451"/>
      <c r="EB668" s="1451"/>
      <c r="EC668" s="1451" t="e">
        <f t="shared" si="3"/>
        <v>#VALUE!</v>
      </c>
      <c r="ED668" s="1451"/>
      <c r="EE668" s="1451"/>
      <c r="EF668" s="1451"/>
      <c r="EG668" s="1451"/>
      <c r="EH668" s="1451" t="e">
        <f t="shared" si="4"/>
        <v>#VALUE!</v>
      </c>
      <c r="EI668" s="1451"/>
      <c r="EJ668" s="1451"/>
      <c r="EK668" s="1451"/>
      <c r="EL668" s="1451"/>
      <c r="EM668" s="1451" t="e">
        <f t="shared" si="5"/>
        <v>#VALUE!</v>
      </c>
      <c r="EN668" s="1451"/>
      <c r="EO668" s="1451"/>
      <c r="EP668" s="1451"/>
      <c r="EQ668" s="1451"/>
      <c r="ER668" s="1451" t="e">
        <f t="shared" si="6"/>
        <v>#VALUE!</v>
      </c>
      <c r="ES668" s="1451"/>
      <c r="ET668" s="1451"/>
      <c r="EU668" s="1451"/>
      <c r="EV668" s="1451"/>
      <c r="EW668" s="1451" t="e">
        <f t="shared" si="7"/>
        <v>#VALUE!</v>
      </c>
      <c r="EX668" s="1451"/>
      <c r="EY668" s="1451"/>
      <c r="EZ668" s="1451"/>
      <c r="FA668" s="1451"/>
    </row>
    <row r="669" spans="1:157" ht="12.95" customHeight="1">
      <c r="A669" s="22"/>
      <c r="B669" t="s">
        <v>580</v>
      </c>
      <c r="G669" s="1339"/>
      <c r="H669" s="1339"/>
      <c r="I669" s="1339"/>
      <c r="J669" s="1339"/>
      <c r="K669" s="1339"/>
      <c r="L669" s="1339"/>
      <c r="M669" s="1339"/>
      <c r="N669" s="1339"/>
      <c r="O669" s="1339"/>
      <c r="P669" s="1339"/>
      <c r="Q669" s="1339"/>
      <c r="R669" s="1339"/>
      <c r="T669" s="22"/>
      <c r="U669" t="s">
        <v>580</v>
      </c>
      <c r="Z669" s="1656"/>
      <c r="AA669" s="1656"/>
      <c r="AB669" s="1656"/>
      <c r="AC669" s="1656"/>
      <c r="AD669" s="1656"/>
      <c r="AE669" s="1656"/>
      <c r="AF669" s="1656"/>
      <c r="AG669" s="1656"/>
      <c r="AH669" s="1656"/>
      <c r="AI669" s="1656"/>
      <c r="AJ669" s="1656"/>
      <c r="AK669" s="1656"/>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51" t="e">
        <f t="shared" si="2"/>
        <v>#VALUE!</v>
      </c>
      <c r="DY669" s="1451"/>
      <c r="DZ669" s="1451"/>
      <c r="EA669" s="1451"/>
      <c r="EB669" s="1451"/>
      <c r="EC669" s="1451" t="e">
        <f t="shared" si="3"/>
        <v>#VALUE!</v>
      </c>
      <c r="ED669" s="1451"/>
      <c r="EE669" s="1451"/>
      <c r="EF669" s="1451"/>
      <c r="EG669" s="1451"/>
      <c r="EH669" s="1451" t="e">
        <f t="shared" si="4"/>
        <v>#VALUE!</v>
      </c>
      <c r="EI669" s="1451"/>
      <c r="EJ669" s="1451"/>
      <c r="EK669" s="1451"/>
      <c r="EL669" s="1451"/>
      <c r="EM669" s="1451" t="e">
        <f t="shared" si="5"/>
        <v>#VALUE!</v>
      </c>
      <c r="EN669" s="1451"/>
      <c r="EO669" s="1451"/>
      <c r="EP669" s="1451"/>
      <c r="EQ669" s="1451"/>
      <c r="ER669" s="1451" t="e">
        <f t="shared" si="6"/>
        <v>#VALUE!</v>
      </c>
      <c r="ES669" s="1451"/>
      <c r="ET669" s="1451"/>
      <c r="EU669" s="1451"/>
      <c r="EV669" s="1451"/>
      <c r="EW669" s="1451" t="e">
        <f t="shared" si="7"/>
        <v>#VALUE!</v>
      </c>
      <c r="EX669" s="1451"/>
      <c r="EY669" s="1451"/>
      <c r="EZ669" s="1451"/>
      <c r="FA669" s="1451"/>
    </row>
    <row r="670" spans="1:157" ht="12.95" customHeight="1">
      <c r="A670" s="22"/>
      <c r="B670" t="s">
        <v>17</v>
      </c>
      <c r="G670" s="1339"/>
      <c r="H670" s="1339"/>
      <c r="I670" s="1339"/>
      <c r="J670" s="1339"/>
      <c r="K670" s="1339"/>
      <c r="L670" s="1339"/>
      <c r="M670" s="1339"/>
      <c r="N670" s="1339"/>
      <c r="O670" s="1339"/>
      <c r="P670" s="1339"/>
      <c r="Q670" s="1339"/>
      <c r="R670" s="1339"/>
      <c r="T670" s="22"/>
      <c r="U670" t="s">
        <v>17</v>
      </c>
      <c r="Z670" s="1656"/>
      <c r="AA670" s="1656"/>
      <c r="AB670" s="1656"/>
      <c r="AC670" s="1656"/>
      <c r="AD670" s="1656"/>
      <c r="AE670" s="1656"/>
      <c r="AF670" s="1656"/>
      <c r="AG670" s="1656"/>
      <c r="AH670" s="1656"/>
      <c r="AI670" s="1656"/>
      <c r="AJ670" s="1656"/>
      <c r="AK670" s="1656"/>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51">
        <f>SUMIF(DX635:EB669,"&gt;0")</f>
        <v>0</v>
      </c>
      <c r="DY670" s="1451"/>
      <c r="DZ670" s="1451"/>
      <c r="EA670" s="1451"/>
      <c r="EB670" s="1451"/>
      <c r="EC670" s="1451">
        <f>SUMIF(EC635:EG669,"&gt;0")</f>
        <v>1657.8876712328765</v>
      </c>
      <c r="ED670" s="1451"/>
      <c r="EE670" s="1451"/>
      <c r="EF670" s="1451"/>
      <c r="EG670" s="1451"/>
      <c r="EH670" s="1451">
        <f>SUMIF(EH635:EL669,"&gt;0")</f>
        <v>2040.2153846153847</v>
      </c>
      <c r="EI670" s="1451"/>
      <c r="EJ670" s="1451"/>
      <c r="EK670" s="1451"/>
      <c r="EL670" s="1451"/>
      <c r="EM670" s="1451">
        <f>SUMIF(EM635:EQ669,"&gt;0")</f>
        <v>0</v>
      </c>
      <c r="EN670" s="1451"/>
      <c r="EO670" s="1451"/>
      <c r="EP670" s="1451"/>
      <c r="EQ670" s="1451"/>
      <c r="ER670" s="1451">
        <f>SUMIF(ER635:EV669,"&gt;0")</f>
        <v>0</v>
      </c>
      <c r="ES670" s="1451"/>
      <c r="ET670" s="1451"/>
      <c r="EU670" s="1451"/>
      <c r="EV670" s="1451"/>
      <c r="EW670" s="1451">
        <f>SUMIF(EW635:FA669,"&gt;0")</f>
        <v>0</v>
      </c>
      <c r="EX670" s="1451"/>
      <c r="EY670" s="1451"/>
      <c r="EZ670" s="1451"/>
      <c r="FA670" s="1451"/>
    </row>
    <row r="671" spans="1:157" ht="12.95" customHeight="1">
      <c r="A671" s="22"/>
      <c r="B671" t="s">
        <v>316</v>
      </c>
      <c r="G671" s="1410"/>
      <c r="H671" s="1410"/>
      <c r="I671" s="1410"/>
      <c r="J671" s="1410"/>
      <c r="K671" s="1410"/>
      <c r="L671" s="1410"/>
      <c r="O671" s="33" t="s">
        <v>206</v>
      </c>
      <c r="P671" s="1441"/>
      <c r="Q671" s="1441"/>
      <c r="R671" s="1441"/>
      <c r="T671" s="22"/>
      <c r="U671" t="s">
        <v>316</v>
      </c>
      <c r="Z671" s="1410"/>
      <c r="AA671" s="1410"/>
      <c r="AB671" s="1410"/>
      <c r="AC671" s="1410"/>
      <c r="AD671" s="1410"/>
      <c r="AE671" s="1410"/>
      <c r="AH671" s="33" t="s">
        <v>206</v>
      </c>
      <c r="AI671" s="1441"/>
      <c r="AJ671" s="1441"/>
      <c r="AK671" s="144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39"/>
      <c r="I672" s="1339"/>
      <c r="J672" s="1339"/>
      <c r="K672" s="1339"/>
      <c r="L672" s="1339"/>
      <c r="M672" s="1339"/>
      <c r="N672" s="1339"/>
      <c r="O672" s="1339"/>
      <c r="P672" s="1339"/>
      <c r="Q672" s="1339"/>
      <c r="R672" s="1339"/>
      <c r="T672" s="22"/>
      <c r="U672" t="s">
        <v>18</v>
      </c>
      <c r="AA672" s="1339"/>
      <c r="AB672" s="1339"/>
      <c r="AC672" s="1339"/>
      <c r="AD672" s="1339"/>
      <c r="AE672" s="1339"/>
      <c r="AF672" s="1339"/>
      <c r="AG672" s="1339"/>
      <c r="AH672" s="1339"/>
      <c r="AI672" s="1339"/>
      <c r="AJ672" s="1339"/>
      <c r="AK672" s="1339"/>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1" t="s">
        <v>669</v>
      </c>
      <c r="O673" s="1331"/>
      <c r="T673" s="22"/>
      <c r="U673" t="s">
        <v>20</v>
      </c>
      <c r="AG673" s="1331" t="s">
        <v>669</v>
      </c>
      <c r="AH673" s="1331"/>
      <c r="AZ673" s="3"/>
    </row>
    <row r="674" spans="1:52" ht="12.95" customHeight="1">
      <c r="A674" s="22"/>
      <c r="T674" s="22"/>
      <c r="AZ674" s="3"/>
    </row>
    <row r="675" spans="1:52" ht="12.95" customHeight="1">
      <c r="A675" s="55" t="s">
        <v>461</v>
      </c>
      <c r="B675" t="s">
        <v>463</v>
      </c>
      <c r="G675" s="1385">
        <f>C635</f>
        <v>0</v>
      </c>
      <c r="H675" s="1385"/>
      <c r="I675" s="1385"/>
      <c r="J675" s="1385"/>
      <c r="K675" s="1385"/>
      <c r="L675" s="1385"/>
      <c r="M675" s="1385"/>
      <c r="N675" s="1385"/>
      <c r="O675" s="1385"/>
      <c r="P675" s="1385"/>
      <c r="Q675" s="1385"/>
      <c r="R675" s="1385"/>
      <c r="T675" s="55" t="s">
        <v>646</v>
      </c>
      <c r="U675" t="s">
        <v>463</v>
      </c>
      <c r="Z675" s="1385">
        <f>C636</f>
        <v>0</v>
      </c>
      <c r="AA675" s="1385"/>
      <c r="AB675" s="1385"/>
      <c r="AC675" s="1385"/>
      <c r="AD675" s="1385"/>
      <c r="AE675" s="1385"/>
      <c r="AF675" s="1385"/>
      <c r="AG675" s="1385"/>
      <c r="AH675" s="1385"/>
      <c r="AI675" s="1385"/>
      <c r="AJ675" s="1385"/>
      <c r="AK675" s="1385"/>
      <c r="AZ675" s="3"/>
    </row>
    <row r="676" spans="1:52" ht="12.95" customHeight="1">
      <c r="A676" s="22"/>
      <c r="B676" t="s">
        <v>85</v>
      </c>
      <c r="G676" s="1339"/>
      <c r="H676" s="1339"/>
      <c r="I676" s="1339"/>
      <c r="J676" s="1339"/>
      <c r="K676" s="1339"/>
      <c r="L676" s="1339"/>
      <c r="M676" s="1339"/>
      <c r="N676" s="1339"/>
      <c r="O676" s="1339"/>
      <c r="P676" s="1339"/>
      <c r="Q676" s="1339"/>
      <c r="R676" s="1339"/>
      <c r="T676" s="22"/>
      <c r="U676" t="s">
        <v>85</v>
      </c>
      <c r="Z676" s="1339"/>
      <c r="AA676" s="1339"/>
      <c r="AB676" s="1339"/>
      <c r="AC676" s="1339"/>
      <c r="AD676" s="1339"/>
      <c r="AE676" s="1339"/>
      <c r="AF676" s="1339"/>
      <c r="AG676" s="1339"/>
      <c r="AH676" s="1339"/>
      <c r="AI676" s="1339"/>
      <c r="AJ676" s="1339"/>
      <c r="AK676" s="1339"/>
      <c r="AZ676" s="3"/>
    </row>
    <row r="677" spans="1:52" ht="12.95" customHeight="1">
      <c r="A677" s="22"/>
      <c r="B677" t="s">
        <v>580</v>
      </c>
      <c r="G677" s="1339"/>
      <c r="H677" s="1339"/>
      <c r="I677" s="1339"/>
      <c r="J677" s="1339"/>
      <c r="K677" s="1339"/>
      <c r="L677" s="1339"/>
      <c r="M677" s="1339"/>
      <c r="N677" s="1339"/>
      <c r="O677" s="1339"/>
      <c r="P677" s="1339"/>
      <c r="Q677" s="1339"/>
      <c r="R677" s="1339"/>
      <c r="T677" s="22"/>
      <c r="U677" t="s">
        <v>580</v>
      </c>
      <c r="Z677" s="1656"/>
      <c r="AA677" s="1656"/>
      <c r="AB677" s="1656"/>
      <c r="AC677" s="1656"/>
      <c r="AD677" s="1656"/>
      <c r="AE677" s="1656"/>
      <c r="AF677" s="1656"/>
      <c r="AG677" s="1656"/>
      <c r="AH677" s="1656"/>
      <c r="AI677" s="1656"/>
      <c r="AJ677" s="1656"/>
      <c r="AK677" s="1656"/>
      <c r="AZ677" s="3"/>
    </row>
    <row r="678" spans="1:52" ht="12.95" customHeight="1">
      <c r="A678" s="22"/>
      <c r="B678" t="s">
        <v>17</v>
      </c>
      <c r="G678" s="1339"/>
      <c r="H678" s="1339"/>
      <c r="I678" s="1339"/>
      <c r="J678" s="1339"/>
      <c r="K678" s="1339"/>
      <c r="L678" s="1339"/>
      <c r="M678" s="1339"/>
      <c r="N678" s="1339"/>
      <c r="O678" s="1339"/>
      <c r="P678" s="1339"/>
      <c r="Q678" s="1339"/>
      <c r="R678" s="1339"/>
      <c r="T678" s="22"/>
      <c r="U678" t="s">
        <v>17</v>
      </c>
      <c r="Z678" s="1656"/>
      <c r="AA678" s="1656"/>
      <c r="AB678" s="1656"/>
      <c r="AC678" s="1656"/>
      <c r="AD678" s="1656"/>
      <c r="AE678" s="1656"/>
      <c r="AF678" s="1656"/>
      <c r="AG678" s="1656"/>
      <c r="AH678" s="1656"/>
      <c r="AI678" s="1656"/>
      <c r="AJ678" s="1656"/>
      <c r="AK678" s="1656"/>
      <c r="AZ678" s="3"/>
    </row>
    <row r="679" spans="1:52" ht="12.95" customHeight="1">
      <c r="A679" s="22"/>
      <c r="B679" t="s">
        <v>316</v>
      </c>
      <c r="G679" s="1410"/>
      <c r="H679" s="1410"/>
      <c r="I679" s="1410"/>
      <c r="J679" s="1410"/>
      <c r="K679" s="1410"/>
      <c r="L679" s="1410"/>
      <c r="O679" s="33" t="s">
        <v>206</v>
      </c>
      <c r="P679" s="1441"/>
      <c r="Q679" s="1441"/>
      <c r="R679" s="1441"/>
      <c r="T679" s="22"/>
      <c r="U679" t="s">
        <v>316</v>
      </c>
      <c r="Z679" s="1410"/>
      <c r="AA679" s="1410"/>
      <c r="AB679" s="1410"/>
      <c r="AC679" s="1410"/>
      <c r="AD679" s="1410"/>
      <c r="AE679" s="1410"/>
      <c r="AH679" s="33" t="s">
        <v>206</v>
      </c>
      <c r="AI679" s="1441"/>
      <c r="AJ679" s="1441"/>
      <c r="AK679" s="1441"/>
      <c r="AZ679" s="3"/>
    </row>
    <row r="680" spans="1:52" ht="12.95" customHeight="1">
      <c r="A680" s="22"/>
      <c r="B680" t="s">
        <v>18</v>
      </c>
      <c r="H680" s="1339"/>
      <c r="I680" s="1339"/>
      <c r="J680" s="1339"/>
      <c r="K680" s="1339"/>
      <c r="L680" s="1339"/>
      <c r="M680" s="1339"/>
      <c r="N680" s="1339"/>
      <c r="O680" s="1339"/>
      <c r="P680" s="1339"/>
      <c r="Q680" s="1339"/>
      <c r="R680" s="1339"/>
      <c r="T680" s="22"/>
      <c r="U680" t="s">
        <v>18</v>
      </c>
      <c r="AA680" s="1339"/>
      <c r="AB680" s="1339"/>
      <c r="AC680" s="1339"/>
      <c r="AD680" s="1339"/>
      <c r="AE680" s="1339"/>
      <c r="AF680" s="1339"/>
      <c r="AG680" s="1339"/>
      <c r="AH680" s="1339"/>
      <c r="AI680" s="1339"/>
      <c r="AJ680" s="1339"/>
      <c r="AK680" s="1339"/>
      <c r="AZ680" s="3"/>
    </row>
    <row r="681" spans="1:52" ht="12.95" customHeight="1">
      <c r="A681" s="22"/>
      <c r="B681" t="s">
        <v>20</v>
      </c>
      <c r="N681" s="1331" t="s">
        <v>669</v>
      </c>
      <c r="O681" s="1331"/>
      <c r="T681" s="22"/>
      <c r="U681" t="s">
        <v>20</v>
      </c>
      <c r="AG681" s="1331" t="s">
        <v>669</v>
      </c>
      <c r="AH681" s="1331"/>
      <c r="AZ681" s="3"/>
    </row>
    <row r="682" spans="1:52" ht="12.95" customHeight="1">
      <c r="A682" s="22"/>
      <c r="T682" s="22"/>
      <c r="AZ682" s="3"/>
    </row>
    <row r="683" spans="1:52" ht="12.95" customHeight="1">
      <c r="A683" s="55" t="s">
        <v>362</v>
      </c>
      <c r="B683" t="s">
        <v>463</v>
      </c>
      <c r="G683" s="1385">
        <f>C637</f>
        <v>0</v>
      </c>
      <c r="H683" s="1385"/>
      <c r="I683" s="1385"/>
      <c r="J683" s="1385"/>
      <c r="K683" s="1385"/>
      <c r="L683" s="1385"/>
      <c r="M683" s="1385"/>
      <c r="N683" s="1385"/>
      <c r="O683" s="1385"/>
      <c r="P683" s="1385"/>
      <c r="Q683" s="1385"/>
      <c r="R683" s="1385"/>
      <c r="T683" s="55" t="s">
        <v>363</v>
      </c>
      <c r="U683" t="s">
        <v>463</v>
      </c>
      <c r="Z683" s="1385">
        <f>C638</f>
        <v>0</v>
      </c>
      <c r="AA683" s="1385"/>
      <c r="AB683" s="1385"/>
      <c r="AC683" s="1385"/>
      <c r="AD683" s="1385"/>
      <c r="AE683" s="1385"/>
      <c r="AF683" s="1385"/>
      <c r="AG683" s="1385"/>
      <c r="AH683" s="1385"/>
      <c r="AI683" s="1385"/>
      <c r="AJ683" s="1385"/>
      <c r="AK683" s="1385"/>
      <c r="AZ683" s="3"/>
    </row>
    <row r="684" spans="1:52" ht="12.95" customHeight="1">
      <c r="B684" t="s">
        <v>85</v>
      </c>
      <c r="G684" s="1339"/>
      <c r="H684" s="1339"/>
      <c r="I684" s="1339"/>
      <c r="J684" s="1339"/>
      <c r="K684" s="1339"/>
      <c r="L684" s="1339"/>
      <c r="M684" s="1339"/>
      <c r="N684" s="1339"/>
      <c r="O684" s="1339"/>
      <c r="P684" s="1339"/>
      <c r="Q684" s="1339"/>
      <c r="R684" s="1339"/>
      <c r="T684" s="22"/>
      <c r="U684" t="s">
        <v>85</v>
      </c>
      <c r="Z684" s="1339"/>
      <c r="AA684" s="1339"/>
      <c r="AB684" s="1339"/>
      <c r="AC684" s="1339"/>
      <c r="AD684" s="1339"/>
      <c r="AE684" s="1339"/>
      <c r="AF684" s="1339"/>
      <c r="AG684" s="1339"/>
      <c r="AH684" s="1339"/>
      <c r="AI684" s="1339"/>
      <c r="AJ684" s="1339"/>
      <c r="AK684" s="1339"/>
      <c r="AZ684" s="3"/>
    </row>
    <row r="685" spans="1:52" ht="12.95" customHeight="1">
      <c r="B685" t="s">
        <v>580</v>
      </c>
      <c r="G685" s="1339"/>
      <c r="H685" s="1339"/>
      <c r="I685" s="1339"/>
      <c r="J685" s="1339"/>
      <c r="K685" s="1339"/>
      <c r="L685" s="1339"/>
      <c r="M685" s="1339"/>
      <c r="N685" s="1339"/>
      <c r="O685" s="1339"/>
      <c r="P685" s="1339"/>
      <c r="Q685" s="1339"/>
      <c r="R685" s="1339"/>
      <c r="U685" t="s">
        <v>580</v>
      </c>
      <c r="Z685" s="1656"/>
      <c r="AA685" s="1656"/>
      <c r="AB685" s="1656"/>
      <c r="AC685" s="1656"/>
      <c r="AD685" s="1656"/>
      <c r="AE685" s="1656"/>
      <c r="AF685" s="1656"/>
      <c r="AG685" s="1656"/>
      <c r="AH685" s="1656"/>
      <c r="AI685" s="1656"/>
      <c r="AJ685" s="1656"/>
      <c r="AK685" s="1656"/>
      <c r="AZ685" s="3"/>
    </row>
    <row r="686" spans="1:52" ht="12.95" customHeight="1">
      <c r="B686" t="s">
        <v>17</v>
      </c>
      <c r="G686" s="1339"/>
      <c r="H686" s="1339"/>
      <c r="I686" s="1339"/>
      <c r="J686" s="1339"/>
      <c r="K686" s="1339"/>
      <c r="L686" s="1339"/>
      <c r="M686" s="1339"/>
      <c r="N686" s="1339"/>
      <c r="O686" s="1339"/>
      <c r="P686" s="1339"/>
      <c r="Q686" s="1339"/>
      <c r="R686" s="1339"/>
      <c r="U686" t="s">
        <v>17</v>
      </c>
      <c r="Z686" s="1656"/>
      <c r="AA686" s="1656"/>
      <c r="AB686" s="1656"/>
      <c r="AC686" s="1656"/>
      <c r="AD686" s="1656"/>
      <c r="AE686" s="1656"/>
      <c r="AF686" s="1656"/>
      <c r="AG686" s="1656"/>
      <c r="AH686" s="1656"/>
      <c r="AI686" s="1656"/>
      <c r="AJ686" s="1656"/>
      <c r="AK686" s="1656"/>
      <c r="AZ686" s="3"/>
    </row>
    <row r="687" spans="1:52" ht="12.95" customHeight="1">
      <c r="B687" t="s">
        <v>316</v>
      </c>
      <c r="G687" s="1410"/>
      <c r="H687" s="1410"/>
      <c r="I687" s="1410"/>
      <c r="J687" s="1410"/>
      <c r="K687" s="1410"/>
      <c r="L687" s="1410"/>
      <c r="O687" s="33" t="s">
        <v>206</v>
      </c>
      <c r="P687" s="1441"/>
      <c r="Q687" s="1441"/>
      <c r="R687" s="1441"/>
      <c r="U687" t="s">
        <v>316</v>
      </c>
      <c r="Z687" s="1410"/>
      <c r="AA687" s="1410"/>
      <c r="AB687" s="1410"/>
      <c r="AC687" s="1410"/>
      <c r="AD687" s="1410"/>
      <c r="AE687" s="1410"/>
      <c r="AH687" s="33" t="s">
        <v>206</v>
      </c>
      <c r="AI687" s="1441"/>
      <c r="AJ687" s="1441"/>
      <c r="AK687" s="1441"/>
      <c r="AZ687" s="3"/>
    </row>
    <row r="688" spans="1:52" ht="12.95" customHeight="1">
      <c r="B688" t="s">
        <v>18</v>
      </c>
      <c r="H688" s="1339"/>
      <c r="I688" s="1339"/>
      <c r="J688" s="1339"/>
      <c r="K688" s="1339"/>
      <c r="L688" s="1339"/>
      <c r="M688" s="1339"/>
      <c r="N688" s="1339"/>
      <c r="O688" s="1339"/>
      <c r="P688" s="1339"/>
      <c r="Q688" s="1339"/>
      <c r="R688" s="1339"/>
      <c r="U688" t="s">
        <v>18</v>
      </c>
      <c r="AA688" s="1339"/>
      <c r="AB688" s="1339"/>
      <c r="AC688" s="1339"/>
      <c r="AD688" s="1339"/>
      <c r="AE688" s="1339"/>
      <c r="AF688" s="1339"/>
      <c r="AG688" s="1339"/>
      <c r="AH688" s="1339"/>
      <c r="AI688" s="1339"/>
      <c r="AJ688" s="1339"/>
      <c r="AK688" s="1339"/>
      <c r="AZ688" s="3"/>
    </row>
    <row r="689" spans="1:67" ht="12.95" customHeight="1">
      <c r="B689" t="s">
        <v>20</v>
      </c>
      <c r="N689" s="1331" t="s">
        <v>669</v>
      </c>
      <c r="O689" s="1331"/>
      <c r="U689" t="s">
        <v>20</v>
      </c>
      <c r="AG689" s="1331" t="s">
        <v>669</v>
      </c>
      <c r="AH689" s="1331"/>
      <c r="AZ689" s="3"/>
    </row>
    <row r="690" spans="1:67" ht="12.95" customHeight="1">
      <c r="AZ690" s="3"/>
    </row>
    <row r="691" spans="1:67" ht="12.95" customHeight="1">
      <c r="A691" s="2" t="s">
        <v>576</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1" t="s">
        <v>545</v>
      </c>
      <c r="AF693" s="1331"/>
      <c r="AZ693" s="3"/>
    </row>
    <row r="694" spans="1:67" ht="12.95" customHeight="1">
      <c r="B694" s="135"/>
      <c r="C694" s="135"/>
      <c r="D694" s="136" t="s">
        <v>438</v>
      </c>
      <c r="E694" s="135"/>
      <c r="F694" s="135"/>
      <c r="G694" s="135"/>
      <c r="H694" s="135"/>
      <c r="AE694" s="1331" t="s">
        <v>545</v>
      </c>
      <c r="AF694" s="1331"/>
      <c r="AZ694" s="3"/>
    </row>
    <row r="695" spans="1:67" ht="12.95" customHeight="1">
      <c r="B695" s="135"/>
      <c r="C695" s="135"/>
      <c r="D695" s="136" t="s">
        <v>920</v>
      </c>
      <c r="E695" s="135"/>
      <c r="F695" s="135"/>
      <c r="G695" s="135"/>
      <c r="H695" s="135"/>
      <c r="AE695" s="1697">
        <v>45797</v>
      </c>
      <c r="AF695" s="1697"/>
      <c r="AG695" s="1697"/>
      <c r="AH695" s="1697"/>
      <c r="AI695" s="1697"/>
    </row>
    <row r="696" spans="1:67" ht="12.95" customHeight="1">
      <c r="B696" s="135"/>
      <c r="C696" s="135"/>
      <c r="D696" s="317" t="s">
        <v>982</v>
      </c>
      <c r="E696" s="135"/>
      <c r="F696" s="135"/>
      <c r="G696" s="135"/>
      <c r="H696" s="135"/>
      <c r="AE696" s="1839">
        <v>45874</v>
      </c>
      <c r="AF696" s="1839"/>
      <c r="AG696" s="1839"/>
      <c r="AH696" s="1839"/>
      <c r="AI696" s="1839"/>
    </row>
    <row r="697" spans="1:67" ht="12.95" customHeight="1">
      <c r="B697" s="135"/>
      <c r="C697" s="135"/>
    </row>
    <row r="698" spans="1:67" ht="12.95" customHeight="1">
      <c r="B698" s="135"/>
      <c r="C698" s="135"/>
      <c r="D698" s="136" t="s">
        <v>816</v>
      </c>
      <c r="E698" s="135"/>
      <c r="F698" s="135"/>
      <c r="G698" s="135"/>
      <c r="H698" s="135"/>
      <c r="AE698" s="1697">
        <v>46048</v>
      </c>
      <c r="AF698" s="1697"/>
      <c r="AG698" s="1697"/>
      <c r="AH698" s="1697"/>
      <c r="AI698" s="1697"/>
    </row>
    <row r="699" spans="1:67" ht="12.95" customHeight="1">
      <c r="B699" s="135"/>
      <c r="C699" s="135"/>
      <c r="D699" s="136" t="s">
        <v>436</v>
      </c>
      <c r="E699" s="135"/>
      <c r="F699" s="135"/>
      <c r="G699" s="135"/>
      <c r="H699" s="135"/>
      <c r="AE699" s="1680">
        <v>0.50021562326766977</v>
      </c>
      <c r="AF699" s="1680"/>
      <c r="AG699" s="1680"/>
      <c r="AH699" s="1680"/>
      <c r="AI699" s="1680"/>
    </row>
    <row r="700" spans="1:67" ht="12.95" customHeight="1">
      <c r="B700" s="135"/>
      <c r="C700" s="135"/>
      <c r="D700" s="136" t="s">
        <v>437</v>
      </c>
      <c r="E700" s="135"/>
      <c r="F700" s="135"/>
      <c r="G700" s="135"/>
      <c r="H700" s="135"/>
      <c r="W700" s="1385" t="str">
        <f>H335</f>
        <v>California Municipal Finance Authority</v>
      </c>
      <c r="X700" s="1385"/>
      <c r="Y700" s="1385"/>
      <c r="Z700" s="1385"/>
      <c r="AA700" s="1385"/>
      <c r="AB700" s="1385"/>
      <c r="AC700" s="1385"/>
      <c r="AD700" s="1385"/>
      <c r="AE700" s="1385"/>
      <c r="AF700" s="1385"/>
      <c r="AG700" s="1385"/>
      <c r="AH700" s="1385"/>
      <c r="AI700" s="1385"/>
      <c r="AJ700" s="1385"/>
      <c r="AK700" s="1385"/>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1" t="s">
        <v>669</v>
      </c>
      <c r="AF702" s="1331"/>
      <c r="AZ702" s="4" t="s">
        <v>324</v>
      </c>
    </row>
    <row r="703" spans="1:67" ht="12.95" customHeight="1">
      <c r="B703" s="135"/>
      <c r="C703" s="135"/>
      <c r="D703" s="136" t="s">
        <v>442</v>
      </c>
      <c r="E703" s="135"/>
      <c r="F703" s="135"/>
      <c r="G703" s="135"/>
      <c r="H703" s="135"/>
      <c r="W703" s="1339"/>
      <c r="X703" s="1339"/>
      <c r="Y703" s="1339"/>
      <c r="Z703" s="1339"/>
      <c r="AA703" s="1339"/>
      <c r="AB703" s="1339"/>
      <c r="AC703" s="1339"/>
      <c r="AD703" s="1339"/>
      <c r="AE703" s="1339"/>
      <c r="AF703" s="1339"/>
      <c r="AG703" s="1339"/>
      <c r="AH703" s="1339"/>
      <c r="AI703" s="1339"/>
      <c r="AJ703" s="1339"/>
      <c r="AK703" s="1339"/>
      <c r="AZ703" s="4" t="s">
        <v>325</v>
      </c>
    </row>
    <row r="704" spans="1:67" ht="12.95" customHeight="1">
      <c r="B704" s="135"/>
      <c r="C704" s="135"/>
      <c r="D704" s="136" t="s">
        <v>87</v>
      </c>
      <c r="E704" s="135"/>
      <c r="F704" s="135"/>
      <c r="G704" s="135"/>
      <c r="H704" s="135"/>
      <c r="J704" s="1339"/>
      <c r="K704" s="1339"/>
      <c r="L704" s="1339"/>
      <c r="M704" s="1339"/>
      <c r="N704" s="1339"/>
      <c r="O704" s="1339"/>
      <c r="P704" s="1339"/>
      <c r="Q704" s="1339"/>
      <c r="R704" s="1339"/>
      <c r="S704" s="1339"/>
      <c r="T704" s="1339"/>
      <c r="U704" s="1339"/>
      <c r="V704" s="1339"/>
      <c r="W704" s="1339"/>
      <c r="X704" s="1339"/>
      <c r="AZ704" s="4" t="s">
        <v>163</v>
      </c>
      <c r="BB704" s="34"/>
      <c r="BC704" s="34"/>
      <c r="BD704" s="34"/>
      <c r="BE704" s="3"/>
      <c r="BF704" s="3"/>
      <c r="BJ704" s="3"/>
      <c r="BK704" s="3"/>
      <c r="BL704" s="3"/>
      <c r="BM704" s="3"/>
      <c r="BN704" s="34"/>
      <c r="BO704" s="34"/>
    </row>
    <row r="705" spans="1:185" ht="12.95" customHeight="1">
      <c r="B705" s="135"/>
      <c r="C705" s="135"/>
      <c r="D705" s="136" t="s">
        <v>88</v>
      </c>
      <c r="J705" s="1410"/>
      <c r="K705" s="1410"/>
      <c r="L705" s="1410"/>
      <c r="M705" s="1410"/>
      <c r="N705" s="1410"/>
      <c r="O705" s="1410"/>
      <c r="P705" s="4" t="s">
        <v>206</v>
      </c>
      <c r="Q705" s="4"/>
      <c r="R705" s="1441"/>
      <c r="S705" s="1441"/>
      <c r="T705" s="144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39" t="s">
        <v>307</v>
      </c>
      <c r="X706" s="1339"/>
      <c r="Y706" s="1339"/>
      <c r="Z706" s="1339"/>
      <c r="AA706" s="1339"/>
      <c r="AB706" s="1339"/>
      <c r="AC706" s="1339"/>
      <c r="AD706" s="1339"/>
      <c r="AE706" s="1339"/>
      <c r="AF706" s="1339"/>
      <c r="AG706" s="1339"/>
      <c r="AH706" s="1339"/>
      <c r="AI706" s="1339"/>
      <c r="AJ706" s="1339"/>
      <c r="AK706" s="1339"/>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39" t="s">
        <v>334</v>
      </c>
      <c r="F707" s="1339"/>
      <c r="G707" s="1339"/>
      <c r="H707" s="1339"/>
      <c r="I707" s="1339"/>
      <c r="J707" s="1339"/>
      <c r="K707" s="1339"/>
      <c r="L707" s="1339"/>
      <c r="M707" s="1339"/>
      <c r="N707" s="1339"/>
      <c r="O707" s="1339"/>
      <c r="P707" s="1339"/>
      <c r="Q707" s="1339"/>
      <c r="R707" s="1339"/>
      <c r="S707" s="1339"/>
      <c r="T707" s="1339"/>
      <c r="U707" s="1339"/>
      <c r="V707" s="1339"/>
      <c r="W707" s="1339"/>
      <c r="X707" s="1339"/>
      <c r="Y707" s="1339"/>
      <c r="Z707" s="1339"/>
      <c r="AA707" s="1339"/>
      <c r="AB707" s="1339"/>
      <c r="AC707" s="1339"/>
      <c r="AD707" s="1339"/>
      <c r="AE707" s="1339"/>
      <c r="AF707" s="1339"/>
      <c r="AG707" s="1339"/>
      <c r="AH707" s="1339"/>
      <c r="AI707" s="1339"/>
      <c r="AJ707" s="1339"/>
      <c r="AK707" s="1339"/>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59" t="s">
        <v>95</v>
      </c>
      <c r="B709" s="1259"/>
      <c r="C709" s="1259"/>
      <c r="D709" s="1259"/>
      <c r="E709" s="1259"/>
      <c r="F709" s="1259"/>
      <c r="G709" s="1259"/>
      <c r="H709" s="1259"/>
      <c r="I709" s="1259"/>
      <c r="J709" s="1259"/>
      <c r="K709" s="1259"/>
      <c r="L709" s="1259"/>
      <c r="M709" s="1259"/>
      <c r="N709" s="1259"/>
      <c r="O709" s="1259"/>
      <c r="P709" s="1259"/>
      <c r="Q709" s="1259"/>
      <c r="R709" s="1259"/>
      <c r="S709" s="1259"/>
      <c r="T709" s="1259"/>
      <c r="U709" s="1259"/>
      <c r="V709" s="1259"/>
      <c r="W709" s="1259"/>
      <c r="X709" s="1259"/>
      <c r="Y709" s="1259"/>
      <c r="Z709" s="1259"/>
      <c r="AA709" s="1259"/>
      <c r="AB709" s="1259"/>
      <c r="AC709" s="1259"/>
      <c r="AD709" s="1259"/>
      <c r="AE709" s="1259"/>
      <c r="AF709" s="1259"/>
      <c r="AG709" s="1259"/>
      <c r="AH709" s="1259"/>
      <c r="AI709" s="1259"/>
      <c r="AJ709" s="1259"/>
      <c r="AK709" s="1259"/>
      <c r="AL709" s="1259"/>
      <c r="AM709" s="1259"/>
      <c r="AN709" s="1259"/>
      <c r="AO709" s="1259"/>
      <c r="AP709" s="1259"/>
      <c r="AQ709" s="1259"/>
      <c r="AR709" s="1259"/>
      <c r="AS709" s="1259"/>
      <c r="AT709" s="1259"/>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59"/>
      <c r="B710" s="1259"/>
      <c r="C710" s="1259"/>
      <c r="D710" s="1259"/>
      <c r="E710" s="1259"/>
      <c r="F710" s="1259"/>
      <c r="G710" s="1259"/>
      <c r="H710" s="1259"/>
      <c r="I710" s="1259"/>
      <c r="J710" s="1259"/>
      <c r="K710" s="1259"/>
      <c r="L710" s="1259"/>
      <c r="M710" s="1259"/>
      <c r="N710" s="1259"/>
      <c r="O710" s="1259"/>
      <c r="P710" s="1259"/>
      <c r="Q710" s="1259"/>
      <c r="R710" s="1259"/>
      <c r="S710" s="1259"/>
      <c r="T710" s="1259"/>
      <c r="U710" s="1259"/>
      <c r="V710" s="1259"/>
      <c r="W710" s="1259"/>
      <c r="X710" s="1259"/>
      <c r="Y710" s="1259"/>
      <c r="Z710" s="1259"/>
      <c r="AA710" s="1259"/>
      <c r="AB710" s="1259"/>
      <c r="AC710" s="1259"/>
      <c r="AD710" s="1259"/>
      <c r="AE710" s="1259"/>
      <c r="AF710" s="1259"/>
      <c r="AG710" s="1259"/>
      <c r="AH710" s="1259"/>
      <c r="AI710" s="1259"/>
      <c r="AJ710" s="1259"/>
      <c r="AK710" s="1259"/>
      <c r="AL710" s="1259"/>
      <c r="AM710" s="1259"/>
      <c r="AN710" s="1259"/>
      <c r="AO710" s="1259"/>
      <c r="AP710" s="1259"/>
      <c r="AQ710" s="1259"/>
      <c r="AR710" s="1259"/>
      <c r="AS710" s="1259"/>
      <c r="AT710" s="1259"/>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59"/>
      <c r="B711" s="1259"/>
      <c r="C711" s="1259"/>
      <c r="D711" s="1259"/>
      <c r="E711" s="1259"/>
      <c r="F711" s="1259"/>
      <c r="G711" s="1259"/>
      <c r="H711" s="1259"/>
      <c r="I711" s="1259"/>
      <c r="J711" s="1259"/>
      <c r="K711" s="1259"/>
      <c r="L711" s="1259"/>
      <c r="M711" s="1259"/>
      <c r="N711" s="1259"/>
      <c r="O711" s="1259"/>
      <c r="P711" s="1259"/>
      <c r="Q711" s="1259"/>
      <c r="R711" s="1259"/>
      <c r="S711" s="1259"/>
      <c r="T711" s="1259"/>
      <c r="U711" s="1259"/>
      <c r="V711" s="1259"/>
      <c r="W711" s="1259"/>
      <c r="X711" s="1259"/>
      <c r="Y711" s="1259"/>
      <c r="Z711" s="1259"/>
      <c r="AA711" s="1259"/>
      <c r="AB711" s="1259"/>
      <c r="AC711" s="1259"/>
      <c r="AD711" s="1259"/>
      <c r="AE711" s="1259"/>
      <c r="AF711" s="1259"/>
      <c r="AG711" s="1259"/>
      <c r="AH711" s="1259"/>
      <c r="AI711" s="1259"/>
      <c r="AJ711" s="1259"/>
      <c r="AK711" s="1259"/>
      <c r="AL711" s="1259"/>
      <c r="AM711" s="1259"/>
      <c r="AN711" s="1259"/>
      <c r="AO711" s="1259"/>
      <c r="AP711" s="1259"/>
      <c r="AQ711" s="1259"/>
      <c r="AR711" s="1259"/>
      <c r="AS711" s="1259"/>
      <c r="AT711" s="1259"/>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56" t="s">
        <v>389</v>
      </c>
      <c r="C714" s="1357"/>
      <c r="D714" s="1357"/>
      <c r="E714" s="1357"/>
      <c r="F714" s="1358"/>
      <c r="G714" s="1356" t="s">
        <v>285</v>
      </c>
      <c r="H714" s="1357"/>
      <c r="I714" s="1357"/>
      <c r="J714" s="1358"/>
      <c r="K714" s="1711" t="s">
        <v>1678</v>
      </c>
      <c r="L714" s="1712"/>
      <c r="M714" s="1712"/>
      <c r="N714" s="1713"/>
      <c r="O714" s="1356" t="s">
        <v>447</v>
      </c>
      <c r="P714" s="1357"/>
      <c r="Q714" s="1357"/>
      <c r="R714" s="1357"/>
      <c r="S714" s="1358"/>
      <c r="T714" s="1651" t="s">
        <v>1949</v>
      </c>
      <c r="U714" s="1357"/>
      <c r="V714" s="1357"/>
      <c r="W714" s="1358"/>
      <c r="X714" s="1651" t="s">
        <v>1951</v>
      </c>
      <c r="Y714" s="1357"/>
      <c r="Z714" s="1357"/>
      <c r="AA714" s="1357"/>
      <c r="AB714" s="1358"/>
      <c r="AC714" s="1651" t="s">
        <v>1950</v>
      </c>
      <c r="AD714" s="1357"/>
      <c r="AE714" s="1357"/>
      <c r="AF714" s="1357"/>
      <c r="AG714" s="1358"/>
      <c r="AH714" s="1651" t="s">
        <v>1952</v>
      </c>
      <c r="AI714" s="1357"/>
      <c r="AJ714" s="1358"/>
      <c r="AK714" s="1651" t="s">
        <v>1979</v>
      </c>
      <c r="AL714" s="1357"/>
      <c r="AM714" s="1357"/>
      <c r="AN714" s="1357"/>
      <c r="AO714" s="135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59"/>
      <c r="C715" s="1360"/>
      <c r="D715" s="1360"/>
      <c r="E715" s="1360"/>
      <c r="F715" s="1361"/>
      <c r="G715" s="1359"/>
      <c r="H715" s="1360"/>
      <c r="I715" s="1360"/>
      <c r="J715" s="1361"/>
      <c r="K715" s="1714"/>
      <c r="L715" s="1715"/>
      <c r="M715" s="1715"/>
      <c r="N715" s="1716"/>
      <c r="O715" s="1359"/>
      <c r="P715" s="1360"/>
      <c r="Q715" s="1360"/>
      <c r="R715" s="1360"/>
      <c r="S715" s="1361"/>
      <c r="T715" s="1359"/>
      <c r="U715" s="1360"/>
      <c r="V715" s="1360"/>
      <c r="W715" s="1361"/>
      <c r="X715" s="1359"/>
      <c r="Y715" s="1360"/>
      <c r="Z715" s="1360"/>
      <c r="AA715" s="1360"/>
      <c r="AB715" s="1361"/>
      <c r="AC715" s="1359"/>
      <c r="AD715" s="1360"/>
      <c r="AE715" s="1360"/>
      <c r="AF715" s="1360"/>
      <c r="AG715" s="1361"/>
      <c r="AH715" s="1359"/>
      <c r="AI715" s="1360"/>
      <c r="AJ715" s="1361"/>
      <c r="AK715" s="1359"/>
      <c r="AL715" s="1360"/>
      <c r="AM715" s="1360"/>
      <c r="AN715" s="1360"/>
      <c r="AO715" s="136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59"/>
      <c r="C716" s="1360"/>
      <c r="D716" s="1360"/>
      <c r="E716" s="1360"/>
      <c r="F716" s="1361"/>
      <c r="G716" s="1359"/>
      <c r="H716" s="1360"/>
      <c r="I716" s="1360"/>
      <c r="J716" s="1361"/>
      <c r="K716" s="1714"/>
      <c r="L716" s="1715"/>
      <c r="M716" s="1715"/>
      <c r="N716" s="1716"/>
      <c r="O716" s="1359"/>
      <c r="P716" s="1360"/>
      <c r="Q716" s="1360"/>
      <c r="R716" s="1360"/>
      <c r="S716" s="1361"/>
      <c r="T716" s="1359"/>
      <c r="U716" s="1360"/>
      <c r="V716" s="1360"/>
      <c r="W716" s="1361"/>
      <c r="X716" s="1359"/>
      <c r="Y716" s="1360"/>
      <c r="Z716" s="1360"/>
      <c r="AA716" s="1360"/>
      <c r="AB716" s="1361"/>
      <c r="AC716" s="1359"/>
      <c r="AD716" s="1360"/>
      <c r="AE716" s="1360"/>
      <c r="AF716" s="1360"/>
      <c r="AG716" s="1361"/>
      <c r="AH716" s="1359"/>
      <c r="AI716" s="1360"/>
      <c r="AJ716" s="1361"/>
      <c r="AK716" s="1359"/>
      <c r="AL716" s="1360"/>
      <c r="AM716" s="1360"/>
      <c r="AN716" s="1360"/>
      <c r="AO716" s="1361"/>
      <c r="AP716" s="3"/>
      <c r="AQ716" s="3"/>
      <c r="AR716" s="3"/>
      <c r="AS716" s="3"/>
      <c r="BA716" s="3"/>
      <c r="BB716" s="3"/>
      <c r="BC716" s="3"/>
      <c r="BD716" s="3"/>
      <c r="BE716" s="204"/>
      <c r="BF716" s="205" t="s">
        <v>895</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2"/>
      <c r="C717" s="1363"/>
      <c r="D717" s="1363"/>
      <c r="E717" s="1363"/>
      <c r="F717" s="1364"/>
      <c r="G717" s="1362"/>
      <c r="H717" s="1363"/>
      <c r="I717" s="1363"/>
      <c r="J717" s="1364"/>
      <c r="K717" s="1714"/>
      <c r="L717" s="1715"/>
      <c r="M717" s="1715"/>
      <c r="N717" s="1716"/>
      <c r="O717" s="1362"/>
      <c r="P717" s="1363"/>
      <c r="Q717" s="1363"/>
      <c r="R717" s="1363"/>
      <c r="S717" s="1364"/>
      <c r="T717" s="1362"/>
      <c r="U717" s="1363"/>
      <c r="V717" s="1363"/>
      <c r="W717" s="1364"/>
      <c r="X717" s="1362"/>
      <c r="Y717" s="1363"/>
      <c r="Z717" s="1363"/>
      <c r="AA717" s="1363"/>
      <c r="AB717" s="1364"/>
      <c r="AC717" s="1362"/>
      <c r="AD717" s="1363"/>
      <c r="AE717" s="1363"/>
      <c r="AF717" s="1363"/>
      <c r="AG717" s="1364"/>
      <c r="AH717" s="1362"/>
      <c r="AI717" s="1363"/>
      <c r="AJ717" s="1364"/>
      <c r="AK717" s="1362"/>
      <c r="AL717" s="1363"/>
      <c r="AM717" s="1363"/>
      <c r="AN717" s="1363"/>
      <c r="AO717" s="1364"/>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61"/>
      <c r="CJ717" s="1462"/>
      <c r="CK717" s="121" t="s">
        <v>475</v>
      </c>
      <c r="CL717" s="122"/>
      <c r="CM717" s="1461"/>
      <c r="CN717" s="1462"/>
      <c r="CO717" s="3"/>
      <c r="CP717" s="1381" t="s">
        <v>633</v>
      </c>
      <c r="CQ717" s="1382"/>
      <c r="CR717" s="1382"/>
      <c r="CS717" s="1382"/>
      <c r="CT717" s="1383"/>
      <c r="CU717" s="1455" t="s">
        <v>325</v>
      </c>
      <c r="CV717" s="1455"/>
      <c r="CW717" s="1455"/>
      <c r="CX717" s="1455"/>
      <c r="CY717" s="1455"/>
      <c r="CZ717" s="1455" t="s">
        <v>163</v>
      </c>
      <c r="DA717" s="1455"/>
      <c r="DB717" s="1455"/>
      <c r="DC717" s="1455"/>
      <c r="DD717" s="1455"/>
      <c r="DE717" s="1455" t="s">
        <v>164</v>
      </c>
      <c r="DF717" s="1455"/>
      <c r="DG717" s="1455"/>
      <c r="DH717" s="1455"/>
      <c r="DI717" s="1455"/>
      <c r="DJ717" s="1455" t="s">
        <v>460</v>
      </c>
      <c r="DK717" s="1455"/>
      <c r="DL717" s="1455"/>
      <c r="DM717" s="1455"/>
      <c r="DN717" s="1455"/>
      <c r="DO717" s="1455" t="s">
        <v>30</v>
      </c>
      <c r="DP717" s="1455"/>
      <c r="DQ717" s="1455"/>
      <c r="DR717" s="1455"/>
      <c r="DS717" s="1455"/>
      <c r="DT717" s="89"/>
      <c r="DU717" s="1455" t="s">
        <v>633</v>
      </c>
      <c r="DV717" s="1455"/>
      <c r="DW717" s="1455"/>
      <c r="DX717" s="1455"/>
      <c r="DY717" s="1455"/>
      <c r="DZ717" s="1455" t="s">
        <v>325</v>
      </c>
      <c r="EA717" s="1455"/>
      <c r="EB717" s="1455"/>
      <c r="EC717" s="1455"/>
      <c r="ED717" s="1455"/>
      <c r="EE717" s="1455" t="s">
        <v>163</v>
      </c>
      <c r="EF717" s="1455"/>
      <c r="EG717" s="1455"/>
      <c r="EH717" s="1455"/>
      <c r="EI717" s="1455"/>
      <c r="EJ717" s="1455" t="s">
        <v>164</v>
      </c>
      <c r="EK717" s="1455"/>
      <c r="EL717" s="1455"/>
      <c r="EM717" s="1455"/>
      <c r="EN717" s="1455"/>
      <c r="EO717" s="1455" t="s">
        <v>460</v>
      </c>
      <c r="EP717" s="1455"/>
      <c r="EQ717" s="1455"/>
      <c r="ER717" s="1455"/>
      <c r="ES717" s="1455"/>
      <c r="ET717" s="1455" t="s">
        <v>30</v>
      </c>
      <c r="EU717" s="1455"/>
      <c r="EV717" s="1455"/>
      <c r="EW717" s="1455"/>
      <c r="EX717" s="1455"/>
      <c r="EY717" s="4"/>
      <c r="EZ717" s="1455" t="s">
        <v>633</v>
      </c>
      <c r="FA717" s="1455"/>
      <c r="FB717" s="1455"/>
      <c r="FC717" s="1455"/>
      <c r="FD717" s="1455"/>
      <c r="FE717" s="1455" t="s">
        <v>325</v>
      </c>
      <c r="FF717" s="1455"/>
      <c r="FG717" s="1455"/>
      <c r="FH717" s="1455"/>
      <c r="FI717" s="1455"/>
      <c r="FJ717" s="1455" t="s">
        <v>163</v>
      </c>
      <c r="FK717" s="1455"/>
      <c r="FL717" s="1455"/>
      <c r="FM717" s="1455"/>
      <c r="FN717" s="1455"/>
      <c r="FO717" s="1455" t="s">
        <v>164</v>
      </c>
      <c r="FP717" s="1455"/>
      <c r="FQ717" s="1455"/>
      <c r="FR717" s="1455"/>
      <c r="FS717" s="1455"/>
      <c r="FT717" s="1455" t="s">
        <v>460</v>
      </c>
      <c r="FU717" s="1455"/>
      <c r="FV717" s="1455"/>
      <c r="FW717" s="1455"/>
      <c r="FX717" s="1455"/>
      <c r="FY717" s="1455" t="s">
        <v>30</v>
      </c>
      <c r="FZ717" s="1455"/>
      <c r="GA717" s="1455"/>
      <c r="GB717" s="1455"/>
      <c r="GC717" s="1455"/>
    </row>
    <row r="718" spans="1:185" ht="12.95" customHeight="1">
      <c r="A718" s="4"/>
      <c r="B718" s="1365" t="s">
        <v>325</v>
      </c>
      <c r="C718" s="1366"/>
      <c r="D718" s="1366"/>
      <c r="E718" s="1366"/>
      <c r="F718" s="1367"/>
      <c r="G718" s="1347">
        <v>43</v>
      </c>
      <c r="H718" s="1348"/>
      <c r="I718" s="1348"/>
      <c r="J718" s="1349"/>
      <c r="K718" s="1350">
        <v>520</v>
      </c>
      <c r="L718" s="1351"/>
      <c r="M718" s="1351"/>
      <c r="N718" s="1352"/>
      <c r="O718" s="1343">
        <v>809</v>
      </c>
      <c r="P718" s="1344"/>
      <c r="Q718" s="1344"/>
      <c r="R718" s="1344"/>
      <c r="S718" s="1345"/>
      <c r="T718" s="1343">
        <v>43</v>
      </c>
      <c r="U718" s="1344"/>
      <c r="V718" s="1344"/>
      <c r="W718" s="1345"/>
      <c r="X718" s="1340">
        <f t="shared" ref="X718:X741" si="8">O718+T718</f>
        <v>852</v>
      </c>
      <c r="Y718" s="1341"/>
      <c r="Z718" s="1341"/>
      <c r="AA718" s="1341"/>
      <c r="AB718" s="1342"/>
      <c r="AC718" s="1353">
        <v>0.3</v>
      </c>
      <c r="AD718" s="1354"/>
      <c r="AE718" s="1354"/>
      <c r="AF718" s="1354"/>
      <c r="AG718" s="1355"/>
      <c r="AH718" s="1336">
        <f>IF($AC718&gt;0,($X718/$AZ718), "")</f>
        <v>0.3</v>
      </c>
      <c r="AI718" s="1337"/>
      <c r="AJ718" s="1338"/>
      <c r="AK718" s="1365" t="s">
        <v>591</v>
      </c>
      <c r="AL718" s="1366"/>
      <c r="AM718" s="1366"/>
      <c r="AN718" s="1366"/>
      <c r="AO718" s="1367"/>
      <c r="AP718" s="3"/>
      <c r="AQ718" s="3"/>
      <c r="AR718" s="3"/>
      <c r="AS718" s="3"/>
      <c r="AZ718" s="118">
        <f t="shared" ref="AZ718:AZ752" si="9">IF($G718=0,"N/A",VLOOKUP($T$189,TC_Rent,(MATCH($B718,bedrooms,FALSE)),FALSE))</f>
        <v>2840</v>
      </c>
      <c r="BA718" s="3"/>
      <c r="BB718" s="3"/>
      <c r="BC718" s="3"/>
      <c r="BD718" s="3"/>
      <c r="BE718" s="204"/>
      <c r="BF718" s="293">
        <f t="shared" ref="BF718:BF752" si="10">G718</f>
        <v>43</v>
      </c>
      <c r="BG718" s="297">
        <f t="shared" ref="BG718:BG752" si="11">IF($BF$753=0,0,BF718/$BF$753)</f>
        <v>0.10997442455242967</v>
      </c>
      <c r="BH718" s="298">
        <f t="shared" ref="BH718:BH752" si="12">IF(BG718=0,"",BG718*AC718)</f>
        <v>3.29923273657289E-2</v>
      </c>
      <c r="BI718" s="3"/>
      <c r="BJ718" s="3"/>
      <c r="BK718" s="3"/>
      <c r="BL718" s="3"/>
      <c r="BM718" s="3"/>
      <c r="BN718" s="3"/>
      <c r="BS718" s="293">
        <f t="shared" ref="BS718:BS752" si="13">G718</f>
        <v>43</v>
      </c>
      <c r="BT718" s="297">
        <f t="shared" ref="BT718:BT752" si="14">IF($BS$753=0,0,BS718/$BS$753)</f>
        <v>0.10997442455242967</v>
      </c>
      <c r="BU718" s="298">
        <f t="shared" ref="BU718:BU752" si="15">IF(BT718=0,"",BT718*AH718)</f>
        <v>3.29923273657289E-2</v>
      </c>
      <c r="CC718" s="3"/>
      <c r="CD718" s="3"/>
      <c r="CE718" s="3"/>
      <c r="CF718" s="3"/>
      <c r="CG718" s="1456">
        <f>IF(AND(AC718&lt;=0.5,AC718&gt;=0.36),1,0)</f>
        <v>0</v>
      </c>
      <c r="CH718" s="1457"/>
      <c r="CI718" s="1461">
        <f>IF(CG718=1,G718,0)</f>
        <v>0</v>
      </c>
      <c r="CJ718" s="1462"/>
      <c r="CK718" s="1456">
        <f t="shared" ref="CK718:CK752" si="16">IF(AND(AC718&lt;=0.35,AC718&gt;0),1,0)</f>
        <v>1</v>
      </c>
      <c r="CL718" s="1457"/>
      <c r="CM718" s="1461">
        <f t="shared" ref="CM718:CM752" si="17">IF(CK718=1,G718,0)</f>
        <v>43</v>
      </c>
      <c r="CN718" s="1462"/>
      <c r="CO718" s="3"/>
      <c r="CP718" s="1458">
        <f t="shared" ref="CP718:CP752" si="18">IF(B718="SRO/Studio",G718,0)</f>
        <v>0</v>
      </c>
      <c r="CQ718" s="1459"/>
      <c r="CR718" s="1459"/>
      <c r="CS718" s="1459"/>
      <c r="CT718" s="1460"/>
      <c r="CU718" s="1452">
        <f t="shared" ref="CU718:CU752" si="19">IF(B718="1 Bedroom",G718,0)</f>
        <v>43</v>
      </c>
      <c r="CV718" s="1452"/>
      <c r="CW718" s="1452"/>
      <c r="CX718" s="1452"/>
      <c r="CY718" s="1452"/>
      <c r="CZ718" s="1452">
        <f t="shared" ref="CZ718:CZ752" si="20">IF(B718="2 Bedrooms",G718,0)</f>
        <v>0</v>
      </c>
      <c r="DA718" s="1452"/>
      <c r="DB718" s="1452"/>
      <c r="DC718" s="1452"/>
      <c r="DD718" s="1452"/>
      <c r="DE718" s="1452">
        <f t="shared" ref="DE718:DE752" si="21">IF(B718="3 Bedrooms",G718,0)</f>
        <v>0</v>
      </c>
      <c r="DF718" s="1452"/>
      <c r="DG718" s="1452"/>
      <c r="DH718" s="1452"/>
      <c r="DI718" s="1452"/>
      <c r="DJ718" s="1452">
        <f t="shared" ref="DJ718:DJ752" si="22">IF(B718="4 Bedrooms",G718,0)</f>
        <v>0</v>
      </c>
      <c r="DK718" s="1452"/>
      <c r="DL718" s="1452"/>
      <c r="DM718" s="1452"/>
      <c r="DN718" s="1452"/>
      <c r="DO718" s="1452">
        <f t="shared" ref="DO718:DO752" si="23">IF(B718="5 Bedrooms",G718,0)</f>
        <v>0</v>
      </c>
      <c r="DP718" s="1452"/>
      <c r="DQ718" s="1452"/>
      <c r="DR718" s="1452"/>
      <c r="DS718" s="1452"/>
      <c r="DT718" s="6"/>
      <c r="DU718" s="1454">
        <f t="shared" ref="DU718:DU752" si="24">IF(AND(B718="SRO/Studio",AC718&lt;=0.3),G718,0)</f>
        <v>0</v>
      </c>
      <c r="DV718" s="1454"/>
      <c r="DW718" s="1454"/>
      <c r="DX718" s="1454"/>
      <c r="DY718" s="1454"/>
      <c r="DZ718" s="1454">
        <f t="shared" ref="DZ718:DZ752" si="25">IF(AND(B718="1 Bedroom",AC718&lt;=0.3),G718,0)</f>
        <v>43</v>
      </c>
      <c r="EA718" s="1454"/>
      <c r="EB718" s="1454"/>
      <c r="EC718" s="1454"/>
      <c r="ED718" s="1454"/>
      <c r="EE718" s="1454">
        <f t="shared" ref="EE718:EE752" si="26">IF(AND(B718="2 Bedrooms",AC718&lt;=0.3),G718,0)</f>
        <v>0</v>
      </c>
      <c r="EF718" s="1454"/>
      <c r="EG718" s="1454"/>
      <c r="EH718" s="1454"/>
      <c r="EI718" s="1454"/>
      <c r="EJ718" s="1454">
        <f t="shared" ref="EJ718:EJ752" si="27">IF(AND(B718="3 Bedrooms",AC718&lt;=0.3),G718,0)</f>
        <v>0</v>
      </c>
      <c r="EK718" s="1454"/>
      <c r="EL718" s="1454"/>
      <c r="EM718" s="1454"/>
      <c r="EN718" s="1454"/>
      <c r="EO718" s="1454">
        <f t="shared" ref="EO718:EO752" si="28">IF(AND(B718="4 Bedrooms",AC718&lt;=0.3),G718,0)</f>
        <v>0</v>
      </c>
      <c r="EP718" s="1454"/>
      <c r="EQ718" s="1454"/>
      <c r="ER718" s="1454"/>
      <c r="ES718" s="1454"/>
      <c r="ET718" s="1454">
        <f t="shared" ref="ET718:ET752" si="29">IF(AND(B718="5 Bedrooms",AC718&lt;=0.3),G718,0)</f>
        <v>0</v>
      </c>
      <c r="EU718" s="1454"/>
      <c r="EV718" s="1454"/>
      <c r="EW718" s="1454"/>
      <c r="EX718" s="1454"/>
      <c r="EY718" s="4"/>
      <c r="EZ718" s="1456" t="str">
        <f t="shared" ref="EZ718:EZ752" si="30">IF(CP718&gt;0,O718,"")</f>
        <v/>
      </c>
      <c r="FA718" s="1463"/>
      <c r="FB718" s="1463"/>
      <c r="FC718" s="1463"/>
      <c r="FD718" s="1457"/>
      <c r="FE718" s="1456">
        <f t="shared" ref="FE718:FE752" si="31">IF(CU718&gt;0,O718,"")</f>
        <v>809</v>
      </c>
      <c r="FF718" s="1463"/>
      <c r="FG718" s="1463"/>
      <c r="FH718" s="1463"/>
      <c r="FI718" s="1457"/>
      <c r="FJ718" s="1456" t="str">
        <f t="shared" ref="FJ718:FJ752" si="32">IF(CZ718&gt;0,O718,"")</f>
        <v/>
      </c>
      <c r="FK718" s="1463"/>
      <c r="FL718" s="1463"/>
      <c r="FM718" s="1463"/>
      <c r="FN718" s="1457"/>
      <c r="FO718" s="1456" t="str">
        <f t="shared" ref="FO718:FO752" si="33">IF(DE718&gt;0,O718,"")</f>
        <v/>
      </c>
      <c r="FP718" s="1463"/>
      <c r="FQ718" s="1463"/>
      <c r="FR718" s="1463"/>
      <c r="FS718" s="1457"/>
      <c r="FT718" s="1456" t="str">
        <f t="shared" ref="FT718:FT752" si="34">IF(DJ718&gt;0,O718,"")</f>
        <v/>
      </c>
      <c r="FU718" s="1463"/>
      <c r="FV718" s="1463"/>
      <c r="FW718" s="1463"/>
      <c r="FX718" s="1457"/>
      <c r="FY718" s="1456" t="str">
        <f t="shared" ref="FY718:FY752" si="35">IF(DO718&gt;0,O718,"")</f>
        <v/>
      </c>
      <c r="FZ718" s="1463"/>
      <c r="GA718" s="1463"/>
      <c r="GB718" s="1463"/>
      <c r="GC718" s="1457"/>
    </row>
    <row r="719" spans="1:185" ht="12.95" customHeight="1">
      <c r="A719" s="4"/>
      <c r="B719" s="1365" t="s">
        <v>325</v>
      </c>
      <c r="C719" s="1366"/>
      <c r="D719" s="1366"/>
      <c r="E719" s="1366"/>
      <c r="F719" s="1367"/>
      <c r="G719" s="1347">
        <v>33</v>
      </c>
      <c r="H719" s="1348"/>
      <c r="I719" s="1348"/>
      <c r="J719" s="1349"/>
      <c r="K719" s="1350">
        <v>520</v>
      </c>
      <c r="L719" s="1351"/>
      <c r="M719" s="1351"/>
      <c r="N719" s="1352"/>
      <c r="O719" s="1343">
        <v>1377</v>
      </c>
      <c r="P719" s="1344"/>
      <c r="Q719" s="1344"/>
      <c r="R719" s="1344"/>
      <c r="S719" s="1345"/>
      <c r="T719" s="1343">
        <v>43</v>
      </c>
      <c r="U719" s="1344"/>
      <c r="V719" s="1344"/>
      <c r="W719" s="1345"/>
      <c r="X719" s="1340">
        <f t="shared" si="8"/>
        <v>1420</v>
      </c>
      <c r="Y719" s="1341"/>
      <c r="Z719" s="1341"/>
      <c r="AA719" s="1341"/>
      <c r="AB719" s="1342"/>
      <c r="AC719" s="1353">
        <v>0.5</v>
      </c>
      <c r="AD719" s="1354"/>
      <c r="AE719" s="1354"/>
      <c r="AF719" s="1354"/>
      <c r="AG719" s="1355"/>
      <c r="AH719" s="1336">
        <f t="shared" ref="AH719:AH752" si="36">IF($AC719&gt;0,($X719/$AZ719), "")</f>
        <v>0.5</v>
      </c>
      <c r="AI719" s="1337"/>
      <c r="AJ719" s="1338"/>
      <c r="AK719" s="1365" t="s">
        <v>591</v>
      </c>
      <c r="AL719" s="1366"/>
      <c r="AM719" s="1366"/>
      <c r="AN719" s="1366"/>
      <c r="AO719" s="1367"/>
      <c r="AP719" s="3"/>
      <c r="AQ719" s="3"/>
      <c r="AR719" s="3"/>
      <c r="AS719" s="3"/>
      <c r="AZ719" s="118">
        <f t="shared" si="9"/>
        <v>2840</v>
      </c>
      <c r="BA719" s="3"/>
      <c r="BB719" s="3"/>
      <c r="BC719" s="3"/>
      <c r="BD719" s="3"/>
      <c r="BE719" s="204"/>
      <c r="BF719" s="294">
        <f t="shared" si="10"/>
        <v>33</v>
      </c>
      <c r="BG719" s="297">
        <f t="shared" si="11"/>
        <v>8.4398976982097182E-2</v>
      </c>
      <c r="BH719" s="298">
        <f t="shared" si="12"/>
        <v>4.2199488491048591E-2</v>
      </c>
      <c r="BI719" s="3"/>
      <c r="BJ719" s="3"/>
      <c r="BK719" s="3"/>
      <c r="BL719" s="3"/>
      <c r="BM719" s="3"/>
      <c r="BN719" s="3"/>
      <c r="BS719" s="294">
        <f t="shared" si="13"/>
        <v>33</v>
      </c>
      <c r="BT719" s="297">
        <f t="shared" si="14"/>
        <v>8.4398976982097182E-2</v>
      </c>
      <c r="BU719" s="298">
        <f t="shared" si="15"/>
        <v>4.2199488491048591E-2</v>
      </c>
      <c r="CC719" s="3"/>
      <c r="CD719" s="3"/>
      <c r="CE719" s="3"/>
      <c r="CF719" s="3"/>
      <c r="CG719" s="1456">
        <f t="shared" ref="CG719:CG752" si="37">IF(AND(AC719&lt;=0.5,AC719&gt;=0.36),1,0)</f>
        <v>1</v>
      </c>
      <c r="CH719" s="1457"/>
      <c r="CI719" s="1461">
        <f t="shared" ref="CI719:CI752" si="38">IF(CG719=1,G719,0)</f>
        <v>33</v>
      </c>
      <c r="CJ719" s="1462"/>
      <c r="CK719" s="1456">
        <f t="shared" si="16"/>
        <v>0</v>
      </c>
      <c r="CL719" s="1457"/>
      <c r="CM719" s="1461">
        <f t="shared" si="17"/>
        <v>0</v>
      </c>
      <c r="CN719" s="1462"/>
      <c r="CO719" s="3"/>
      <c r="CP719" s="1458">
        <f t="shared" si="18"/>
        <v>0</v>
      </c>
      <c r="CQ719" s="1459"/>
      <c r="CR719" s="1459"/>
      <c r="CS719" s="1459"/>
      <c r="CT719" s="1460"/>
      <c r="CU719" s="1452">
        <f t="shared" si="19"/>
        <v>33</v>
      </c>
      <c r="CV719" s="1452"/>
      <c r="CW719" s="1452"/>
      <c r="CX719" s="1452"/>
      <c r="CY719" s="1452"/>
      <c r="CZ719" s="1452">
        <f t="shared" si="20"/>
        <v>0</v>
      </c>
      <c r="DA719" s="1452"/>
      <c r="DB719" s="1452"/>
      <c r="DC719" s="1452"/>
      <c r="DD719" s="1452"/>
      <c r="DE719" s="1452">
        <f t="shared" si="21"/>
        <v>0</v>
      </c>
      <c r="DF719" s="1452"/>
      <c r="DG719" s="1452"/>
      <c r="DH719" s="1452"/>
      <c r="DI719" s="1452"/>
      <c r="DJ719" s="1452">
        <f t="shared" si="22"/>
        <v>0</v>
      </c>
      <c r="DK719" s="1452"/>
      <c r="DL719" s="1452"/>
      <c r="DM719" s="1452"/>
      <c r="DN719" s="1452"/>
      <c r="DO719" s="1452">
        <f t="shared" si="23"/>
        <v>0</v>
      </c>
      <c r="DP719" s="1452"/>
      <c r="DQ719" s="1452"/>
      <c r="DR719" s="1452"/>
      <c r="DS719" s="1452"/>
      <c r="DT719" s="6"/>
      <c r="DU719" s="1454">
        <f t="shared" si="24"/>
        <v>0</v>
      </c>
      <c r="DV719" s="1454"/>
      <c r="DW719" s="1454"/>
      <c r="DX719" s="1454"/>
      <c r="DY719" s="1454"/>
      <c r="DZ719" s="1454">
        <f t="shared" si="25"/>
        <v>0</v>
      </c>
      <c r="EA719" s="1454"/>
      <c r="EB719" s="1454"/>
      <c r="EC719" s="1454"/>
      <c r="ED719" s="1454"/>
      <c r="EE719" s="1454">
        <f t="shared" si="26"/>
        <v>0</v>
      </c>
      <c r="EF719" s="1454"/>
      <c r="EG719" s="1454"/>
      <c r="EH719" s="1454"/>
      <c r="EI719" s="1454"/>
      <c r="EJ719" s="1454">
        <f t="shared" si="27"/>
        <v>0</v>
      </c>
      <c r="EK719" s="1454"/>
      <c r="EL719" s="1454"/>
      <c r="EM719" s="1454"/>
      <c r="EN719" s="1454"/>
      <c r="EO719" s="1454">
        <f t="shared" si="28"/>
        <v>0</v>
      </c>
      <c r="EP719" s="1454"/>
      <c r="EQ719" s="1454"/>
      <c r="ER719" s="1454"/>
      <c r="ES719" s="1454"/>
      <c r="ET719" s="1454">
        <f t="shared" si="29"/>
        <v>0</v>
      </c>
      <c r="EU719" s="1454"/>
      <c r="EV719" s="1454"/>
      <c r="EW719" s="1454"/>
      <c r="EX719" s="1454"/>
      <c r="EY719" s="4"/>
      <c r="EZ719" s="1456" t="str">
        <f t="shared" si="30"/>
        <v/>
      </c>
      <c r="FA719" s="1463"/>
      <c r="FB719" s="1463"/>
      <c r="FC719" s="1463"/>
      <c r="FD719" s="1457"/>
      <c r="FE719" s="1456">
        <f t="shared" si="31"/>
        <v>1377</v>
      </c>
      <c r="FF719" s="1463"/>
      <c r="FG719" s="1463"/>
      <c r="FH719" s="1463"/>
      <c r="FI719" s="1457"/>
      <c r="FJ719" s="1456" t="str">
        <f t="shared" si="32"/>
        <v/>
      </c>
      <c r="FK719" s="1463"/>
      <c r="FL719" s="1463"/>
      <c r="FM719" s="1463"/>
      <c r="FN719" s="1457"/>
      <c r="FO719" s="1456" t="str">
        <f t="shared" si="33"/>
        <v/>
      </c>
      <c r="FP719" s="1463"/>
      <c r="FQ719" s="1463"/>
      <c r="FR719" s="1463"/>
      <c r="FS719" s="1457"/>
      <c r="FT719" s="1456" t="str">
        <f t="shared" si="34"/>
        <v/>
      </c>
      <c r="FU719" s="1463"/>
      <c r="FV719" s="1463"/>
      <c r="FW719" s="1463"/>
      <c r="FX719" s="1457"/>
      <c r="FY719" s="1456" t="str">
        <f t="shared" si="35"/>
        <v/>
      </c>
      <c r="FZ719" s="1463"/>
      <c r="GA719" s="1463"/>
      <c r="GB719" s="1463"/>
      <c r="GC719" s="1457"/>
    </row>
    <row r="720" spans="1:185" ht="12.95" customHeight="1">
      <c r="A720" s="4"/>
      <c r="B720" s="1365" t="s">
        <v>325</v>
      </c>
      <c r="C720" s="1366"/>
      <c r="D720" s="1366"/>
      <c r="E720" s="1366"/>
      <c r="F720" s="1367"/>
      <c r="G720" s="1347">
        <v>131</v>
      </c>
      <c r="H720" s="1348"/>
      <c r="I720" s="1348"/>
      <c r="J720" s="1349"/>
      <c r="K720" s="1350">
        <v>520</v>
      </c>
      <c r="L720" s="1351"/>
      <c r="M720" s="1351"/>
      <c r="N720" s="1352"/>
      <c r="O720" s="1343">
        <v>1661</v>
      </c>
      <c r="P720" s="1344"/>
      <c r="Q720" s="1344"/>
      <c r="R720" s="1344"/>
      <c r="S720" s="1345"/>
      <c r="T720" s="1343">
        <v>43</v>
      </c>
      <c r="U720" s="1344"/>
      <c r="V720" s="1344"/>
      <c r="W720" s="1345"/>
      <c r="X720" s="1340">
        <f t="shared" si="8"/>
        <v>1704</v>
      </c>
      <c r="Y720" s="1341"/>
      <c r="Z720" s="1341"/>
      <c r="AA720" s="1341"/>
      <c r="AB720" s="1342"/>
      <c r="AC720" s="1353">
        <v>0.6</v>
      </c>
      <c r="AD720" s="1354"/>
      <c r="AE720" s="1354"/>
      <c r="AF720" s="1354"/>
      <c r="AG720" s="1355"/>
      <c r="AH720" s="1336">
        <f t="shared" si="36"/>
        <v>0.6</v>
      </c>
      <c r="AI720" s="1337"/>
      <c r="AJ720" s="1338"/>
      <c r="AK720" s="1365" t="s">
        <v>591</v>
      </c>
      <c r="AL720" s="1366"/>
      <c r="AM720" s="1366"/>
      <c r="AN720" s="1366"/>
      <c r="AO720" s="1367"/>
      <c r="AP720" s="3"/>
      <c r="AQ720" s="3"/>
      <c r="AR720" s="3"/>
      <c r="AS720" s="3"/>
      <c r="AZ720" s="118">
        <f t="shared" si="9"/>
        <v>2840</v>
      </c>
      <c r="BA720" s="3"/>
      <c r="BB720" s="3"/>
      <c r="BC720" s="3"/>
      <c r="BD720" s="3"/>
      <c r="BE720" s="204"/>
      <c r="BF720" s="294">
        <f t="shared" si="10"/>
        <v>131</v>
      </c>
      <c r="BG720" s="297">
        <f t="shared" si="11"/>
        <v>0.33503836317135549</v>
      </c>
      <c r="BH720" s="298">
        <f t="shared" si="12"/>
        <v>0.20102301790281329</v>
      </c>
      <c r="BI720" s="3"/>
      <c r="BJ720" s="3"/>
      <c r="BK720" s="3"/>
      <c r="BL720" s="3"/>
      <c r="BM720" s="3"/>
      <c r="BN720" s="3"/>
      <c r="BS720" s="294">
        <f t="shared" si="13"/>
        <v>131</v>
      </c>
      <c r="BT720" s="297">
        <f t="shared" si="14"/>
        <v>0.33503836317135549</v>
      </c>
      <c r="BU720" s="298">
        <f t="shared" si="15"/>
        <v>0.20102301790281329</v>
      </c>
      <c r="CC720" s="3"/>
      <c r="CD720" s="3"/>
      <c r="CE720" s="3"/>
      <c r="CF720" s="3"/>
      <c r="CG720" s="1456">
        <f t="shared" si="37"/>
        <v>0</v>
      </c>
      <c r="CH720" s="1457"/>
      <c r="CI720" s="1461">
        <f t="shared" si="38"/>
        <v>0</v>
      </c>
      <c r="CJ720" s="1462"/>
      <c r="CK720" s="1456">
        <f t="shared" si="16"/>
        <v>0</v>
      </c>
      <c r="CL720" s="1457"/>
      <c r="CM720" s="1461">
        <f t="shared" si="17"/>
        <v>0</v>
      </c>
      <c r="CN720" s="1462"/>
      <c r="CO720" s="3"/>
      <c r="CP720" s="1458">
        <f t="shared" si="18"/>
        <v>0</v>
      </c>
      <c r="CQ720" s="1459"/>
      <c r="CR720" s="1459"/>
      <c r="CS720" s="1459"/>
      <c r="CT720" s="1460"/>
      <c r="CU720" s="1452">
        <f t="shared" si="19"/>
        <v>131</v>
      </c>
      <c r="CV720" s="1452"/>
      <c r="CW720" s="1452"/>
      <c r="CX720" s="1452"/>
      <c r="CY720" s="1452"/>
      <c r="CZ720" s="1452">
        <f t="shared" si="20"/>
        <v>0</v>
      </c>
      <c r="DA720" s="1452"/>
      <c r="DB720" s="1452"/>
      <c r="DC720" s="1452"/>
      <c r="DD720" s="1452"/>
      <c r="DE720" s="1452">
        <f t="shared" si="21"/>
        <v>0</v>
      </c>
      <c r="DF720" s="1452"/>
      <c r="DG720" s="1452"/>
      <c r="DH720" s="1452"/>
      <c r="DI720" s="1452"/>
      <c r="DJ720" s="1452">
        <f t="shared" si="22"/>
        <v>0</v>
      </c>
      <c r="DK720" s="1452"/>
      <c r="DL720" s="1452"/>
      <c r="DM720" s="1452"/>
      <c r="DN720" s="1452"/>
      <c r="DO720" s="1452">
        <f t="shared" si="23"/>
        <v>0</v>
      </c>
      <c r="DP720" s="1452"/>
      <c r="DQ720" s="1452"/>
      <c r="DR720" s="1452"/>
      <c r="DS720" s="1452"/>
      <c r="DT720" s="6"/>
      <c r="DU720" s="1454">
        <f t="shared" si="24"/>
        <v>0</v>
      </c>
      <c r="DV720" s="1454"/>
      <c r="DW720" s="1454"/>
      <c r="DX720" s="1454"/>
      <c r="DY720" s="1454"/>
      <c r="DZ720" s="1454">
        <f t="shared" si="25"/>
        <v>0</v>
      </c>
      <c r="EA720" s="1454"/>
      <c r="EB720" s="1454"/>
      <c r="EC720" s="1454"/>
      <c r="ED720" s="1454"/>
      <c r="EE720" s="1454">
        <f t="shared" si="26"/>
        <v>0</v>
      </c>
      <c r="EF720" s="1454"/>
      <c r="EG720" s="1454"/>
      <c r="EH720" s="1454"/>
      <c r="EI720" s="1454"/>
      <c r="EJ720" s="1454">
        <f t="shared" si="27"/>
        <v>0</v>
      </c>
      <c r="EK720" s="1454"/>
      <c r="EL720" s="1454"/>
      <c r="EM720" s="1454"/>
      <c r="EN720" s="1454"/>
      <c r="EO720" s="1454">
        <f t="shared" si="28"/>
        <v>0</v>
      </c>
      <c r="EP720" s="1454"/>
      <c r="EQ720" s="1454"/>
      <c r="ER720" s="1454"/>
      <c r="ES720" s="1454"/>
      <c r="ET720" s="1454">
        <f t="shared" si="29"/>
        <v>0</v>
      </c>
      <c r="EU720" s="1454"/>
      <c r="EV720" s="1454"/>
      <c r="EW720" s="1454"/>
      <c r="EX720" s="1454"/>
      <c r="EZ720" s="1456" t="str">
        <f t="shared" si="30"/>
        <v/>
      </c>
      <c r="FA720" s="1463"/>
      <c r="FB720" s="1463"/>
      <c r="FC720" s="1463"/>
      <c r="FD720" s="1457"/>
      <c r="FE720" s="1456">
        <f t="shared" si="31"/>
        <v>1661</v>
      </c>
      <c r="FF720" s="1463"/>
      <c r="FG720" s="1463"/>
      <c r="FH720" s="1463"/>
      <c r="FI720" s="1457"/>
      <c r="FJ720" s="1456" t="str">
        <f t="shared" si="32"/>
        <v/>
      </c>
      <c r="FK720" s="1463"/>
      <c r="FL720" s="1463"/>
      <c r="FM720" s="1463"/>
      <c r="FN720" s="1457"/>
      <c r="FO720" s="1456" t="str">
        <f t="shared" si="33"/>
        <v/>
      </c>
      <c r="FP720" s="1463"/>
      <c r="FQ720" s="1463"/>
      <c r="FR720" s="1463"/>
      <c r="FS720" s="1457"/>
      <c r="FT720" s="1456" t="str">
        <f t="shared" si="34"/>
        <v/>
      </c>
      <c r="FU720" s="1463"/>
      <c r="FV720" s="1463"/>
      <c r="FW720" s="1463"/>
      <c r="FX720" s="1457"/>
      <c r="FY720" s="1456" t="str">
        <f t="shared" si="35"/>
        <v/>
      </c>
      <c r="FZ720" s="1463"/>
      <c r="GA720" s="1463"/>
      <c r="GB720" s="1463"/>
      <c r="GC720" s="1457"/>
    </row>
    <row r="721" spans="1:185" ht="12.95" customHeight="1">
      <c r="B721" s="1365" t="s">
        <v>325</v>
      </c>
      <c r="C721" s="1366"/>
      <c r="D721" s="1366"/>
      <c r="E721" s="1366"/>
      <c r="F721" s="1367"/>
      <c r="G721" s="1347">
        <v>158</v>
      </c>
      <c r="H721" s="1348"/>
      <c r="I721" s="1348"/>
      <c r="J721" s="1349"/>
      <c r="K721" s="1350">
        <v>520</v>
      </c>
      <c r="L721" s="1351"/>
      <c r="M721" s="1351"/>
      <c r="N721" s="1352"/>
      <c r="O721" s="1343">
        <v>1944.9999999999998</v>
      </c>
      <c r="P721" s="1344"/>
      <c r="Q721" s="1344"/>
      <c r="R721" s="1344"/>
      <c r="S721" s="1345"/>
      <c r="T721" s="1343">
        <v>43</v>
      </c>
      <c r="U721" s="1344"/>
      <c r="V721" s="1344"/>
      <c r="W721" s="1345"/>
      <c r="X721" s="1340">
        <f t="shared" si="8"/>
        <v>1987.9999999999998</v>
      </c>
      <c r="Y721" s="1341"/>
      <c r="Z721" s="1341"/>
      <c r="AA721" s="1341"/>
      <c r="AB721" s="1342"/>
      <c r="AC721" s="1353">
        <v>0.7</v>
      </c>
      <c r="AD721" s="1354"/>
      <c r="AE721" s="1354"/>
      <c r="AF721" s="1354"/>
      <c r="AG721" s="1355"/>
      <c r="AH721" s="1336">
        <f t="shared" si="36"/>
        <v>0.7</v>
      </c>
      <c r="AI721" s="1337"/>
      <c r="AJ721" s="1338"/>
      <c r="AK721" s="1365" t="s">
        <v>591</v>
      </c>
      <c r="AL721" s="1366"/>
      <c r="AM721" s="1366"/>
      <c r="AN721" s="1366"/>
      <c r="AO721" s="1367"/>
      <c r="AP721" s="3"/>
      <c r="AQ721" s="3"/>
      <c r="AR721" s="3"/>
      <c r="AS721" s="3"/>
      <c r="AY721" s="116"/>
      <c r="AZ721" s="118">
        <f t="shared" si="9"/>
        <v>2840</v>
      </c>
      <c r="BA721" s="3"/>
      <c r="BB721" s="3"/>
      <c r="BC721" s="3"/>
      <c r="BD721" s="3"/>
      <c r="BE721" s="204"/>
      <c r="BF721" s="294">
        <f t="shared" si="10"/>
        <v>158</v>
      </c>
      <c r="BG721" s="297">
        <f t="shared" si="11"/>
        <v>0.40409207161125321</v>
      </c>
      <c r="BH721" s="298">
        <f t="shared" si="12"/>
        <v>0.28286445012787725</v>
      </c>
      <c r="BI721" s="3"/>
      <c r="BJ721" s="3"/>
      <c r="BK721" s="3"/>
      <c r="BL721" s="3"/>
      <c r="BM721" s="3"/>
      <c r="BN721" s="3"/>
      <c r="BS721" s="294">
        <f t="shared" si="13"/>
        <v>158</v>
      </c>
      <c r="BT721" s="297">
        <f t="shared" si="14"/>
        <v>0.40409207161125321</v>
      </c>
      <c r="BU721" s="298">
        <f t="shared" si="15"/>
        <v>0.28286445012787725</v>
      </c>
      <c r="CC721" s="3"/>
      <c r="CD721" s="3"/>
      <c r="CE721" s="3"/>
      <c r="CF721" s="3"/>
      <c r="CG721" s="1456">
        <f t="shared" si="37"/>
        <v>0</v>
      </c>
      <c r="CH721" s="1457"/>
      <c r="CI721" s="1461">
        <f t="shared" si="38"/>
        <v>0</v>
      </c>
      <c r="CJ721" s="1462"/>
      <c r="CK721" s="1456">
        <f t="shared" si="16"/>
        <v>0</v>
      </c>
      <c r="CL721" s="1457"/>
      <c r="CM721" s="1461">
        <f t="shared" si="17"/>
        <v>0</v>
      </c>
      <c r="CN721" s="1462"/>
      <c r="CO721" s="3"/>
      <c r="CP721" s="1458">
        <f t="shared" si="18"/>
        <v>0</v>
      </c>
      <c r="CQ721" s="1459"/>
      <c r="CR721" s="1459"/>
      <c r="CS721" s="1459"/>
      <c r="CT721" s="1460"/>
      <c r="CU721" s="1452">
        <f t="shared" si="19"/>
        <v>158</v>
      </c>
      <c r="CV721" s="1452"/>
      <c r="CW721" s="1452"/>
      <c r="CX721" s="1452"/>
      <c r="CY721" s="1452"/>
      <c r="CZ721" s="1452">
        <f t="shared" si="20"/>
        <v>0</v>
      </c>
      <c r="DA721" s="1452"/>
      <c r="DB721" s="1452"/>
      <c r="DC721" s="1452"/>
      <c r="DD721" s="1452"/>
      <c r="DE721" s="1452">
        <f t="shared" si="21"/>
        <v>0</v>
      </c>
      <c r="DF721" s="1452"/>
      <c r="DG721" s="1452"/>
      <c r="DH721" s="1452"/>
      <c r="DI721" s="1452"/>
      <c r="DJ721" s="1452">
        <f t="shared" si="22"/>
        <v>0</v>
      </c>
      <c r="DK721" s="1452"/>
      <c r="DL721" s="1452"/>
      <c r="DM721" s="1452"/>
      <c r="DN721" s="1452"/>
      <c r="DO721" s="1452">
        <f t="shared" si="23"/>
        <v>0</v>
      </c>
      <c r="DP721" s="1452"/>
      <c r="DQ721" s="1452"/>
      <c r="DR721" s="1452"/>
      <c r="DS721" s="1452"/>
      <c r="DT721" s="6"/>
      <c r="DU721" s="1454">
        <f t="shared" si="24"/>
        <v>0</v>
      </c>
      <c r="DV721" s="1454"/>
      <c r="DW721" s="1454"/>
      <c r="DX721" s="1454"/>
      <c r="DY721" s="1454"/>
      <c r="DZ721" s="1454">
        <f t="shared" si="25"/>
        <v>0</v>
      </c>
      <c r="EA721" s="1454"/>
      <c r="EB721" s="1454"/>
      <c r="EC721" s="1454"/>
      <c r="ED721" s="1454"/>
      <c r="EE721" s="1454">
        <f t="shared" si="26"/>
        <v>0</v>
      </c>
      <c r="EF721" s="1454"/>
      <c r="EG721" s="1454"/>
      <c r="EH721" s="1454"/>
      <c r="EI721" s="1454"/>
      <c r="EJ721" s="1454">
        <f t="shared" si="27"/>
        <v>0</v>
      </c>
      <c r="EK721" s="1454"/>
      <c r="EL721" s="1454"/>
      <c r="EM721" s="1454"/>
      <c r="EN721" s="1454"/>
      <c r="EO721" s="1454">
        <f t="shared" si="28"/>
        <v>0</v>
      </c>
      <c r="EP721" s="1454"/>
      <c r="EQ721" s="1454"/>
      <c r="ER721" s="1454"/>
      <c r="ES721" s="1454"/>
      <c r="ET721" s="1454">
        <f t="shared" si="29"/>
        <v>0</v>
      </c>
      <c r="EU721" s="1454"/>
      <c r="EV721" s="1454"/>
      <c r="EW721" s="1454"/>
      <c r="EX721" s="1454"/>
      <c r="EZ721" s="1456" t="str">
        <f t="shared" si="30"/>
        <v/>
      </c>
      <c r="FA721" s="1463"/>
      <c r="FB721" s="1463"/>
      <c r="FC721" s="1463"/>
      <c r="FD721" s="1457"/>
      <c r="FE721" s="1456">
        <f t="shared" si="31"/>
        <v>1944.9999999999998</v>
      </c>
      <c r="FF721" s="1463"/>
      <c r="FG721" s="1463"/>
      <c r="FH721" s="1463"/>
      <c r="FI721" s="1457"/>
      <c r="FJ721" s="1456" t="str">
        <f t="shared" si="32"/>
        <v/>
      </c>
      <c r="FK721" s="1463"/>
      <c r="FL721" s="1463"/>
      <c r="FM721" s="1463"/>
      <c r="FN721" s="1457"/>
      <c r="FO721" s="1456" t="str">
        <f t="shared" si="33"/>
        <v/>
      </c>
      <c r="FP721" s="1463"/>
      <c r="FQ721" s="1463"/>
      <c r="FR721" s="1463"/>
      <c r="FS721" s="1457"/>
      <c r="FT721" s="1456" t="str">
        <f t="shared" si="34"/>
        <v/>
      </c>
      <c r="FU721" s="1463"/>
      <c r="FV721" s="1463"/>
      <c r="FW721" s="1463"/>
      <c r="FX721" s="1457"/>
      <c r="FY721" s="1456" t="str">
        <f t="shared" si="35"/>
        <v/>
      </c>
      <c r="FZ721" s="1463"/>
      <c r="GA721" s="1463"/>
      <c r="GB721" s="1463"/>
      <c r="GC721" s="1457"/>
    </row>
    <row r="722" spans="1:185" ht="12.95" customHeight="1">
      <c r="B722" s="1365" t="s">
        <v>163</v>
      </c>
      <c r="C722" s="1366"/>
      <c r="D722" s="1366"/>
      <c r="E722" s="1366"/>
      <c r="F722" s="1367"/>
      <c r="G722" s="1347">
        <v>3</v>
      </c>
      <c r="H722" s="1348"/>
      <c r="I722" s="1348"/>
      <c r="J722" s="1349"/>
      <c r="K722" s="1350">
        <v>690</v>
      </c>
      <c r="L722" s="1351"/>
      <c r="M722" s="1351"/>
      <c r="N722" s="1352"/>
      <c r="O722" s="1343">
        <v>1647</v>
      </c>
      <c r="P722" s="1344"/>
      <c r="Q722" s="1344"/>
      <c r="R722" s="1344"/>
      <c r="S722" s="1345"/>
      <c r="T722" s="1343">
        <v>56</v>
      </c>
      <c r="U722" s="1344"/>
      <c r="V722" s="1344"/>
      <c r="W722" s="1345"/>
      <c r="X722" s="1340">
        <f t="shared" si="8"/>
        <v>1703</v>
      </c>
      <c r="Y722" s="1341"/>
      <c r="Z722" s="1341"/>
      <c r="AA722" s="1341"/>
      <c r="AB722" s="1342"/>
      <c r="AC722" s="1353">
        <v>0.5</v>
      </c>
      <c r="AD722" s="1354"/>
      <c r="AE722" s="1354"/>
      <c r="AF722" s="1354"/>
      <c r="AG722" s="1355"/>
      <c r="AH722" s="1336">
        <f t="shared" si="36"/>
        <v>0.5</v>
      </c>
      <c r="AI722" s="1337"/>
      <c r="AJ722" s="1338"/>
      <c r="AK722" s="1365" t="s">
        <v>591</v>
      </c>
      <c r="AL722" s="1366"/>
      <c r="AM722" s="1366"/>
      <c r="AN722" s="1366"/>
      <c r="AO722" s="1367"/>
      <c r="AP722" s="3"/>
      <c r="AQ722" s="3"/>
      <c r="AR722" s="3"/>
      <c r="AS722" s="3"/>
      <c r="AY722" s="116"/>
      <c r="AZ722" s="118">
        <f t="shared" si="9"/>
        <v>3406</v>
      </c>
      <c r="BA722" s="3"/>
      <c r="BB722" s="3"/>
      <c r="BC722" s="3"/>
      <c r="BD722" s="3"/>
      <c r="BE722" s="204"/>
      <c r="BF722" s="294">
        <f t="shared" si="10"/>
        <v>3</v>
      </c>
      <c r="BG722" s="297">
        <f t="shared" si="11"/>
        <v>7.6726342710997444E-3</v>
      </c>
      <c r="BH722" s="298">
        <f t="shared" si="12"/>
        <v>3.8363171355498722E-3</v>
      </c>
      <c r="BI722" s="3"/>
      <c r="BJ722" s="3"/>
      <c r="BK722" s="3"/>
      <c r="BL722" s="3"/>
      <c r="BM722" s="3"/>
      <c r="BN722" s="3"/>
      <c r="BS722" s="294">
        <f t="shared" si="13"/>
        <v>3</v>
      </c>
      <c r="BT722" s="297">
        <f t="shared" si="14"/>
        <v>7.6726342710997444E-3</v>
      </c>
      <c r="BU722" s="298">
        <f t="shared" si="15"/>
        <v>3.8363171355498722E-3</v>
      </c>
      <c r="CC722" s="3"/>
      <c r="CD722" s="3"/>
      <c r="CE722" s="3"/>
      <c r="CF722" s="3"/>
      <c r="CG722" s="1456">
        <f t="shared" si="37"/>
        <v>1</v>
      </c>
      <c r="CH722" s="1457"/>
      <c r="CI722" s="1461">
        <f t="shared" si="38"/>
        <v>3</v>
      </c>
      <c r="CJ722" s="1462"/>
      <c r="CK722" s="1456">
        <f t="shared" si="16"/>
        <v>0</v>
      </c>
      <c r="CL722" s="1457"/>
      <c r="CM722" s="1461">
        <f t="shared" si="17"/>
        <v>0</v>
      </c>
      <c r="CN722" s="1462"/>
      <c r="CO722" s="3"/>
      <c r="CP722" s="1458">
        <f t="shared" si="18"/>
        <v>0</v>
      </c>
      <c r="CQ722" s="1459"/>
      <c r="CR722" s="1459"/>
      <c r="CS722" s="1459"/>
      <c r="CT722" s="1460"/>
      <c r="CU722" s="1452">
        <f t="shared" si="19"/>
        <v>0</v>
      </c>
      <c r="CV722" s="1452"/>
      <c r="CW722" s="1452"/>
      <c r="CX722" s="1452"/>
      <c r="CY722" s="1452"/>
      <c r="CZ722" s="1452">
        <f t="shared" si="20"/>
        <v>3</v>
      </c>
      <c r="DA722" s="1452"/>
      <c r="DB722" s="1452"/>
      <c r="DC722" s="1452"/>
      <c r="DD722" s="1452"/>
      <c r="DE722" s="1452">
        <f t="shared" si="21"/>
        <v>0</v>
      </c>
      <c r="DF722" s="1452"/>
      <c r="DG722" s="1452"/>
      <c r="DH722" s="1452"/>
      <c r="DI722" s="1452"/>
      <c r="DJ722" s="1452">
        <f t="shared" si="22"/>
        <v>0</v>
      </c>
      <c r="DK722" s="1452"/>
      <c r="DL722" s="1452"/>
      <c r="DM722" s="1452"/>
      <c r="DN722" s="1452"/>
      <c r="DO722" s="1452">
        <f t="shared" si="23"/>
        <v>0</v>
      </c>
      <c r="DP722" s="1452"/>
      <c r="DQ722" s="1452"/>
      <c r="DR722" s="1452"/>
      <c r="DS722" s="1452"/>
      <c r="DT722" s="6"/>
      <c r="DU722" s="1454">
        <f t="shared" si="24"/>
        <v>0</v>
      </c>
      <c r="DV722" s="1454"/>
      <c r="DW722" s="1454"/>
      <c r="DX722" s="1454"/>
      <c r="DY722" s="1454"/>
      <c r="DZ722" s="1454">
        <f t="shared" si="25"/>
        <v>0</v>
      </c>
      <c r="EA722" s="1454"/>
      <c r="EB722" s="1454"/>
      <c r="EC722" s="1454"/>
      <c r="ED722" s="1454"/>
      <c r="EE722" s="1454">
        <f t="shared" si="26"/>
        <v>0</v>
      </c>
      <c r="EF722" s="1454"/>
      <c r="EG722" s="1454"/>
      <c r="EH722" s="1454"/>
      <c r="EI722" s="1454"/>
      <c r="EJ722" s="1454">
        <f t="shared" si="27"/>
        <v>0</v>
      </c>
      <c r="EK722" s="1454"/>
      <c r="EL722" s="1454"/>
      <c r="EM722" s="1454"/>
      <c r="EN722" s="1454"/>
      <c r="EO722" s="1454">
        <f t="shared" si="28"/>
        <v>0</v>
      </c>
      <c r="EP722" s="1454"/>
      <c r="EQ722" s="1454"/>
      <c r="ER722" s="1454"/>
      <c r="ES722" s="1454"/>
      <c r="ET722" s="1454">
        <f t="shared" si="29"/>
        <v>0</v>
      </c>
      <c r="EU722" s="1454"/>
      <c r="EV722" s="1454"/>
      <c r="EW722" s="1454"/>
      <c r="EX722" s="1454"/>
      <c r="EZ722" s="1456" t="str">
        <f t="shared" si="30"/>
        <v/>
      </c>
      <c r="FA722" s="1463"/>
      <c r="FB722" s="1463"/>
      <c r="FC722" s="1463"/>
      <c r="FD722" s="1457"/>
      <c r="FE722" s="1456" t="str">
        <f t="shared" si="31"/>
        <v/>
      </c>
      <c r="FF722" s="1463"/>
      <c r="FG722" s="1463"/>
      <c r="FH722" s="1463"/>
      <c r="FI722" s="1457"/>
      <c r="FJ722" s="1456">
        <f t="shared" si="32"/>
        <v>1647</v>
      </c>
      <c r="FK722" s="1463"/>
      <c r="FL722" s="1463"/>
      <c r="FM722" s="1463"/>
      <c r="FN722" s="1457"/>
      <c r="FO722" s="1456" t="str">
        <f t="shared" si="33"/>
        <v/>
      </c>
      <c r="FP722" s="1463"/>
      <c r="FQ722" s="1463"/>
      <c r="FR722" s="1463"/>
      <c r="FS722" s="1457"/>
      <c r="FT722" s="1456" t="str">
        <f t="shared" si="34"/>
        <v/>
      </c>
      <c r="FU722" s="1463"/>
      <c r="FV722" s="1463"/>
      <c r="FW722" s="1463"/>
      <c r="FX722" s="1457"/>
      <c r="FY722" s="1456" t="str">
        <f t="shared" si="35"/>
        <v/>
      </c>
      <c r="FZ722" s="1463"/>
      <c r="GA722" s="1463"/>
      <c r="GB722" s="1463"/>
      <c r="GC722" s="1457"/>
    </row>
    <row r="723" spans="1:185" ht="12.95" customHeight="1">
      <c r="B723" s="1365" t="s">
        <v>163</v>
      </c>
      <c r="C723" s="1366"/>
      <c r="D723" s="1366"/>
      <c r="E723" s="1366"/>
      <c r="F723" s="1367"/>
      <c r="G723" s="1347">
        <v>16</v>
      </c>
      <c r="H723" s="1348"/>
      <c r="I723" s="1348"/>
      <c r="J723" s="1349"/>
      <c r="K723" s="1350">
        <v>690</v>
      </c>
      <c r="L723" s="1351"/>
      <c r="M723" s="1351"/>
      <c r="N723" s="1352"/>
      <c r="O723" s="1343">
        <v>1987.6</v>
      </c>
      <c r="P723" s="1344"/>
      <c r="Q723" s="1344"/>
      <c r="R723" s="1344"/>
      <c r="S723" s="1345"/>
      <c r="T723" s="1343">
        <v>56</v>
      </c>
      <c r="U723" s="1344"/>
      <c r="V723" s="1344"/>
      <c r="W723" s="1345"/>
      <c r="X723" s="1340">
        <f t="shared" si="8"/>
        <v>2043.6</v>
      </c>
      <c r="Y723" s="1341"/>
      <c r="Z723" s="1341"/>
      <c r="AA723" s="1341"/>
      <c r="AB723" s="1342"/>
      <c r="AC723" s="1353">
        <v>0.6</v>
      </c>
      <c r="AD723" s="1354"/>
      <c r="AE723" s="1354"/>
      <c r="AF723" s="1354"/>
      <c r="AG723" s="1355"/>
      <c r="AH723" s="1336">
        <f t="shared" si="36"/>
        <v>0.6</v>
      </c>
      <c r="AI723" s="1337"/>
      <c r="AJ723" s="1338"/>
      <c r="AK723" s="1365" t="s">
        <v>591</v>
      </c>
      <c r="AL723" s="1366"/>
      <c r="AM723" s="1366"/>
      <c r="AN723" s="1366"/>
      <c r="AO723" s="1367"/>
      <c r="AP723" s="3"/>
      <c r="AQ723" s="3"/>
      <c r="AR723" s="3"/>
      <c r="AS723" s="3"/>
      <c r="AY723" s="116"/>
      <c r="AZ723" s="118">
        <f t="shared" si="9"/>
        <v>3406</v>
      </c>
      <c r="BA723" s="3"/>
      <c r="BB723" s="3"/>
      <c r="BC723" s="3"/>
      <c r="BD723" s="3"/>
      <c r="BE723" s="204"/>
      <c r="BF723" s="294">
        <f t="shared" si="10"/>
        <v>16</v>
      </c>
      <c r="BG723" s="297">
        <f t="shared" si="11"/>
        <v>4.0920716112531973E-2</v>
      </c>
      <c r="BH723" s="298">
        <f t="shared" si="12"/>
        <v>2.4552429667519183E-2</v>
      </c>
      <c r="BI723" s="3"/>
      <c r="BJ723" s="3"/>
      <c r="BK723" s="3"/>
      <c r="BL723" s="3"/>
      <c r="BM723" s="3"/>
      <c r="BN723" s="3"/>
      <c r="BS723" s="294">
        <f t="shared" si="13"/>
        <v>16</v>
      </c>
      <c r="BT723" s="297">
        <f t="shared" si="14"/>
        <v>4.0920716112531973E-2</v>
      </c>
      <c r="BU723" s="298">
        <f t="shared" si="15"/>
        <v>2.4552429667519183E-2</v>
      </c>
      <c r="CC723" s="3"/>
      <c r="CD723" s="3"/>
      <c r="CE723" s="3"/>
      <c r="CF723" s="3"/>
      <c r="CG723" s="1456">
        <f t="shared" si="37"/>
        <v>0</v>
      </c>
      <c r="CH723" s="1457"/>
      <c r="CI723" s="1461">
        <f t="shared" si="38"/>
        <v>0</v>
      </c>
      <c r="CJ723" s="1462"/>
      <c r="CK723" s="1456">
        <f t="shared" si="16"/>
        <v>0</v>
      </c>
      <c r="CL723" s="1457"/>
      <c r="CM723" s="1461">
        <f t="shared" si="17"/>
        <v>0</v>
      </c>
      <c r="CN723" s="1462"/>
      <c r="CO723" s="3"/>
      <c r="CP723" s="1458">
        <f t="shared" si="18"/>
        <v>0</v>
      </c>
      <c r="CQ723" s="1459"/>
      <c r="CR723" s="1459"/>
      <c r="CS723" s="1459"/>
      <c r="CT723" s="1460"/>
      <c r="CU723" s="1452">
        <f t="shared" si="19"/>
        <v>0</v>
      </c>
      <c r="CV723" s="1452"/>
      <c r="CW723" s="1452"/>
      <c r="CX723" s="1452"/>
      <c r="CY723" s="1452"/>
      <c r="CZ723" s="1452">
        <f t="shared" si="20"/>
        <v>16</v>
      </c>
      <c r="DA723" s="1452"/>
      <c r="DB723" s="1452"/>
      <c r="DC723" s="1452"/>
      <c r="DD723" s="1452"/>
      <c r="DE723" s="1452">
        <f t="shared" si="21"/>
        <v>0</v>
      </c>
      <c r="DF723" s="1452"/>
      <c r="DG723" s="1452"/>
      <c r="DH723" s="1452"/>
      <c r="DI723" s="1452"/>
      <c r="DJ723" s="1452">
        <f t="shared" si="22"/>
        <v>0</v>
      </c>
      <c r="DK723" s="1452"/>
      <c r="DL723" s="1452"/>
      <c r="DM723" s="1452"/>
      <c r="DN723" s="1452"/>
      <c r="DO723" s="1452">
        <f t="shared" si="23"/>
        <v>0</v>
      </c>
      <c r="DP723" s="1452"/>
      <c r="DQ723" s="1452"/>
      <c r="DR723" s="1452"/>
      <c r="DS723" s="1452"/>
      <c r="DT723" s="6"/>
      <c r="DU723" s="1454">
        <f t="shared" si="24"/>
        <v>0</v>
      </c>
      <c r="DV723" s="1454"/>
      <c r="DW723" s="1454"/>
      <c r="DX723" s="1454"/>
      <c r="DY723" s="1454"/>
      <c r="DZ723" s="1454">
        <f t="shared" si="25"/>
        <v>0</v>
      </c>
      <c r="EA723" s="1454"/>
      <c r="EB723" s="1454"/>
      <c r="EC723" s="1454"/>
      <c r="ED723" s="1454"/>
      <c r="EE723" s="1454">
        <f t="shared" si="26"/>
        <v>0</v>
      </c>
      <c r="EF723" s="1454"/>
      <c r="EG723" s="1454"/>
      <c r="EH723" s="1454"/>
      <c r="EI723" s="1454"/>
      <c r="EJ723" s="1454">
        <f t="shared" si="27"/>
        <v>0</v>
      </c>
      <c r="EK723" s="1454"/>
      <c r="EL723" s="1454"/>
      <c r="EM723" s="1454"/>
      <c r="EN723" s="1454"/>
      <c r="EO723" s="1454">
        <f t="shared" si="28"/>
        <v>0</v>
      </c>
      <c r="EP723" s="1454"/>
      <c r="EQ723" s="1454"/>
      <c r="ER723" s="1454"/>
      <c r="ES723" s="1454"/>
      <c r="ET723" s="1454">
        <f t="shared" si="29"/>
        <v>0</v>
      </c>
      <c r="EU723" s="1454"/>
      <c r="EV723" s="1454"/>
      <c r="EW723" s="1454"/>
      <c r="EX723" s="1454"/>
      <c r="EZ723" s="1456" t="str">
        <f t="shared" si="30"/>
        <v/>
      </c>
      <c r="FA723" s="1463"/>
      <c r="FB723" s="1463"/>
      <c r="FC723" s="1463"/>
      <c r="FD723" s="1457"/>
      <c r="FE723" s="1456" t="str">
        <f t="shared" si="31"/>
        <v/>
      </c>
      <c r="FF723" s="1463"/>
      <c r="FG723" s="1463"/>
      <c r="FH723" s="1463"/>
      <c r="FI723" s="1457"/>
      <c r="FJ723" s="1456">
        <f t="shared" si="32"/>
        <v>1987.6</v>
      </c>
      <c r="FK723" s="1463"/>
      <c r="FL723" s="1463"/>
      <c r="FM723" s="1463"/>
      <c r="FN723" s="1457"/>
      <c r="FO723" s="1456" t="str">
        <f t="shared" si="33"/>
        <v/>
      </c>
      <c r="FP723" s="1463"/>
      <c r="FQ723" s="1463"/>
      <c r="FR723" s="1463"/>
      <c r="FS723" s="1457"/>
      <c r="FT723" s="1456" t="str">
        <f t="shared" si="34"/>
        <v/>
      </c>
      <c r="FU723" s="1463"/>
      <c r="FV723" s="1463"/>
      <c r="FW723" s="1463"/>
      <c r="FX723" s="1457"/>
      <c r="FY723" s="1456" t="str">
        <f t="shared" si="35"/>
        <v/>
      </c>
      <c r="FZ723" s="1463"/>
      <c r="GA723" s="1463"/>
      <c r="GB723" s="1463"/>
      <c r="GC723" s="1457"/>
    </row>
    <row r="724" spans="1:185" ht="12.95" customHeight="1">
      <c r="B724" s="1365" t="s">
        <v>163</v>
      </c>
      <c r="C724" s="1366"/>
      <c r="D724" s="1366"/>
      <c r="E724" s="1366"/>
      <c r="F724" s="1367"/>
      <c r="G724" s="1347">
        <v>7</v>
      </c>
      <c r="H724" s="1348"/>
      <c r="I724" s="1348"/>
      <c r="J724" s="1349"/>
      <c r="K724" s="1350">
        <v>690</v>
      </c>
      <c r="L724" s="1351"/>
      <c r="M724" s="1351"/>
      <c r="N724" s="1352"/>
      <c r="O724" s="1343">
        <v>2329</v>
      </c>
      <c r="P724" s="1344"/>
      <c r="Q724" s="1344"/>
      <c r="R724" s="1344"/>
      <c r="S724" s="1345"/>
      <c r="T724" s="1343">
        <v>56</v>
      </c>
      <c r="U724" s="1344"/>
      <c r="V724" s="1344"/>
      <c r="W724" s="1345"/>
      <c r="X724" s="1340">
        <f t="shared" si="8"/>
        <v>2385</v>
      </c>
      <c r="Y724" s="1341"/>
      <c r="Z724" s="1341"/>
      <c r="AA724" s="1341"/>
      <c r="AB724" s="1342"/>
      <c r="AC724" s="1353">
        <v>0.7</v>
      </c>
      <c r="AD724" s="1354"/>
      <c r="AE724" s="1354"/>
      <c r="AF724" s="1354"/>
      <c r="AG724" s="1355"/>
      <c r="AH724" s="1336">
        <f t="shared" si="36"/>
        <v>0.70023487962419262</v>
      </c>
      <c r="AI724" s="1337"/>
      <c r="AJ724" s="1338"/>
      <c r="AK724" s="1365" t="s">
        <v>591</v>
      </c>
      <c r="AL724" s="1366"/>
      <c r="AM724" s="1366"/>
      <c r="AN724" s="1366"/>
      <c r="AO724" s="1367"/>
      <c r="AP724" s="3"/>
      <c r="AQ724" s="3"/>
      <c r="AR724" s="3"/>
      <c r="AS724" s="3"/>
      <c r="AY724" s="116"/>
      <c r="AZ724" s="118">
        <f t="shared" si="9"/>
        <v>3406</v>
      </c>
      <c r="BA724" s="3"/>
      <c r="BB724" s="3"/>
      <c r="BC724" s="3"/>
      <c r="BD724" s="3"/>
      <c r="BE724" s="204"/>
      <c r="BF724" s="294">
        <f t="shared" si="10"/>
        <v>7</v>
      </c>
      <c r="BG724" s="297">
        <f t="shared" si="11"/>
        <v>1.7902813299232736E-2</v>
      </c>
      <c r="BH724" s="298">
        <f t="shared" si="12"/>
        <v>1.2531969309462914E-2</v>
      </c>
      <c r="BI724" s="3"/>
      <c r="BJ724" s="3"/>
      <c r="BK724" s="3"/>
      <c r="BL724" s="3"/>
      <c r="BM724" s="3"/>
      <c r="BN724" s="3"/>
      <c r="BS724" s="294">
        <f t="shared" si="13"/>
        <v>7</v>
      </c>
      <c r="BT724" s="297">
        <f t="shared" si="14"/>
        <v>1.7902813299232736E-2</v>
      </c>
      <c r="BU724" s="298">
        <f t="shared" si="15"/>
        <v>1.2536174315522629E-2</v>
      </c>
      <c r="CC724" s="3"/>
      <c r="CE724" s="3"/>
      <c r="CF724" s="3"/>
      <c r="CG724" s="1456">
        <f t="shared" si="37"/>
        <v>0</v>
      </c>
      <c r="CH724" s="1457"/>
      <c r="CI724" s="1461">
        <f t="shared" si="38"/>
        <v>0</v>
      </c>
      <c r="CJ724" s="1462"/>
      <c r="CK724" s="1456">
        <f t="shared" si="16"/>
        <v>0</v>
      </c>
      <c r="CL724" s="1457"/>
      <c r="CM724" s="1461">
        <f t="shared" si="17"/>
        <v>0</v>
      </c>
      <c r="CN724" s="1462"/>
      <c r="CO724" s="3"/>
      <c r="CP724" s="1458">
        <f t="shared" si="18"/>
        <v>0</v>
      </c>
      <c r="CQ724" s="1459"/>
      <c r="CR724" s="1459"/>
      <c r="CS724" s="1459"/>
      <c r="CT724" s="1460"/>
      <c r="CU724" s="1452">
        <f t="shared" si="19"/>
        <v>0</v>
      </c>
      <c r="CV724" s="1452"/>
      <c r="CW724" s="1452"/>
      <c r="CX724" s="1452"/>
      <c r="CY724" s="1452"/>
      <c r="CZ724" s="1452">
        <f t="shared" si="20"/>
        <v>7</v>
      </c>
      <c r="DA724" s="1452"/>
      <c r="DB724" s="1452"/>
      <c r="DC724" s="1452"/>
      <c r="DD724" s="1452"/>
      <c r="DE724" s="1452">
        <f t="shared" si="21"/>
        <v>0</v>
      </c>
      <c r="DF724" s="1452"/>
      <c r="DG724" s="1452"/>
      <c r="DH724" s="1452"/>
      <c r="DI724" s="1452"/>
      <c r="DJ724" s="1452">
        <f t="shared" si="22"/>
        <v>0</v>
      </c>
      <c r="DK724" s="1452"/>
      <c r="DL724" s="1452"/>
      <c r="DM724" s="1452"/>
      <c r="DN724" s="1452"/>
      <c r="DO724" s="1452">
        <f t="shared" si="23"/>
        <v>0</v>
      </c>
      <c r="DP724" s="1452"/>
      <c r="DQ724" s="1452"/>
      <c r="DR724" s="1452"/>
      <c r="DS724" s="1452"/>
      <c r="DT724" s="6"/>
      <c r="DU724" s="1454">
        <f t="shared" si="24"/>
        <v>0</v>
      </c>
      <c r="DV724" s="1454"/>
      <c r="DW724" s="1454"/>
      <c r="DX724" s="1454"/>
      <c r="DY724" s="1454"/>
      <c r="DZ724" s="1454">
        <f t="shared" si="25"/>
        <v>0</v>
      </c>
      <c r="EA724" s="1454"/>
      <c r="EB724" s="1454"/>
      <c r="EC724" s="1454"/>
      <c r="ED724" s="1454"/>
      <c r="EE724" s="1454">
        <f t="shared" si="26"/>
        <v>0</v>
      </c>
      <c r="EF724" s="1454"/>
      <c r="EG724" s="1454"/>
      <c r="EH724" s="1454"/>
      <c r="EI724" s="1454"/>
      <c r="EJ724" s="1454">
        <f t="shared" si="27"/>
        <v>0</v>
      </c>
      <c r="EK724" s="1454"/>
      <c r="EL724" s="1454"/>
      <c r="EM724" s="1454"/>
      <c r="EN724" s="1454"/>
      <c r="EO724" s="1454">
        <f t="shared" si="28"/>
        <v>0</v>
      </c>
      <c r="EP724" s="1454"/>
      <c r="EQ724" s="1454"/>
      <c r="ER724" s="1454"/>
      <c r="ES724" s="1454"/>
      <c r="ET724" s="1454">
        <f t="shared" si="29"/>
        <v>0</v>
      </c>
      <c r="EU724" s="1454"/>
      <c r="EV724" s="1454"/>
      <c r="EW724" s="1454"/>
      <c r="EX724" s="1454"/>
      <c r="EZ724" s="1456" t="str">
        <f t="shared" si="30"/>
        <v/>
      </c>
      <c r="FA724" s="1463"/>
      <c r="FB724" s="1463"/>
      <c r="FC724" s="1463"/>
      <c r="FD724" s="1457"/>
      <c r="FE724" s="1456" t="str">
        <f t="shared" si="31"/>
        <v/>
      </c>
      <c r="FF724" s="1463"/>
      <c r="FG724" s="1463"/>
      <c r="FH724" s="1463"/>
      <c r="FI724" s="1457"/>
      <c r="FJ724" s="1456">
        <f t="shared" si="32"/>
        <v>2329</v>
      </c>
      <c r="FK724" s="1463"/>
      <c r="FL724" s="1463"/>
      <c r="FM724" s="1463"/>
      <c r="FN724" s="1457"/>
      <c r="FO724" s="1456" t="str">
        <f t="shared" si="33"/>
        <v/>
      </c>
      <c r="FP724" s="1463"/>
      <c r="FQ724" s="1463"/>
      <c r="FR724" s="1463"/>
      <c r="FS724" s="1457"/>
      <c r="FT724" s="1456" t="str">
        <f t="shared" si="34"/>
        <v/>
      </c>
      <c r="FU724" s="1463"/>
      <c r="FV724" s="1463"/>
      <c r="FW724" s="1463"/>
      <c r="FX724" s="1457"/>
      <c r="FY724" s="1456" t="str">
        <f t="shared" si="35"/>
        <v/>
      </c>
      <c r="FZ724" s="1463"/>
      <c r="GA724" s="1463"/>
      <c r="GB724" s="1463"/>
      <c r="GC724" s="1457"/>
    </row>
    <row r="725" spans="1:185" ht="12.95" customHeight="1">
      <c r="B725" s="1365"/>
      <c r="C725" s="1366"/>
      <c r="D725" s="1366"/>
      <c r="E725" s="1366"/>
      <c r="F725" s="1367"/>
      <c r="G725" s="1347"/>
      <c r="H725" s="1348"/>
      <c r="I725" s="1348"/>
      <c r="J725" s="1349"/>
      <c r="K725" s="1350"/>
      <c r="L725" s="1351"/>
      <c r="M725" s="1351"/>
      <c r="N725" s="1352"/>
      <c r="O725" s="1343"/>
      <c r="P725" s="1344"/>
      <c r="Q725" s="1344"/>
      <c r="R725" s="1344"/>
      <c r="S725" s="1345"/>
      <c r="T725" s="1343"/>
      <c r="U725" s="1344"/>
      <c r="V725" s="1344"/>
      <c r="W725" s="1345"/>
      <c r="X725" s="1340">
        <f t="shared" si="8"/>
        <v>0</v>
      </c>
      <c r="Y725" s="1341"/>
      <c r="Z725" s="1341"/>
      <c r="AA725" s="1341"/>
      <c r="AB725" s="1342"/>
      <c r="AC725" s="1353"/>
      <c r="AD725" s="1354"/>
      <c r="AE725" s="1354"/>
      <c r="AF725" s="1354"/>
      <c r="AG725" s="1355"/>
      <c r="AH725" s="1336" t="str">
        <f t="shared" si="36"/>
        <v/>
      </c>
      <c r="AI725" s="1337"/>
      <c r="AJ725" s="1338"/>
      <c r="AK725" s="1365" t="s">
        <v>591</v>
      </c>
      <c r="AL725" s="1366"/>
      <c r="AM725" s="1366"/>
      <c r="AN725" s="1366"/>
      <c r="AO725" s="1367"/>
      <c r="AP725" s="3"/>
      <c r="AQ725" s="3"/>
      <c r="AR725" s="3"/>
      <c r="AS725" s="3"/>
      <c r="AY725" s="1084"/>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456">
        <f t="shared" si="37"/>
        <v>0</v>
      </c>
      <c r="CH725" s="1457"/>
      <c r="CI725" s="1461">
        <f t="shared" si="38"/>
        <v>0</v>
      </c>
      <c r="CJ725" s="1462"/>
      <c r="CK725" s="1456">
        <f t="shared" si="16"/>
        <v>0</v>
      </c>
      <c r="CL725" s="1457"/>
      <c r="CM725" s="1461">
        <f t="shared" si="17"/>
        <v>0</v>
      </c>
      <c r="CN725" s="1462"/>
      <c r="CO725" s="3"/>
      <c r="CP725" s="1458">
        <f t="shared" si="18"/>
        <v>0</v>
      </c>
      <c r="CQ725" s="1459"/>
      <c r="CR725" s="1459"/>
      <c r="CS725" s="1459"/>
      <c r="CT725" s="1460"/>
      <c r="CU725" s="1452">
        <f t="shared" si="19"/>
        <v>0</v>
      </c>
      <c r="CV725" s="1452"/>
      <c r="CW725" s="1452"/>
      <c r="CX725" s="1452"/>
      <c r="CY725" s="1452"/>
      <c r="CZ725" s="1452">
        <f t="shared" si="20"/>
        <v>0</v>
      </c>
      <c r="DA725" s="1452"/>
      <c r="DB725" s="1452"/>
      <c r="DC725" s="1452"/>
      <c r="DD725" s="1452"/>
      <c r="DE725" s="1452">
        <f t="shared" si="21"/>
        <v>0</v>
      </c>
      <c r="DF725" s="1452"/>
      <c r="DG725" s="1452"/>
      <c r="DH725" s="1452"/>
      <c r="DI725" s="1452"/>
      <c r="DJ725" s="1452">
        <f t="shared" si="22"/>
        <v>0</v>
      </c>
      <c r="DK725" s="1452"/>
      <c r="DL725" s="1452"/>
      <c r="DM725" s="1452"/>
      <c r="DN725" s="1452"/>
      <c r="DO725" s="1452">
        <f t="shared" si="23"/>
        <v>0</v>
      </c>
      <c r="DP725" s="1452"/>
      <c r="DQ725" s="1452"/>
      <c r="DR725" s="1452"/>
      <c r="DS725" s="1452"/>
      <c r="DT725" s="6"/>
      <c r="DU725" s="1454">
        <f t="shared" si="24"/>
        <v>0</v>
      </c>
      <c r="DV725" s="1454"/>
      <c r="DW725" s="1454"/>
      <c r="DX725" s="1454"/>
      <c r="DY725" s="1454"/>
      <c r="DZ725" s="1454">
        <f t="shared" si="25"/>
        <v>0</v>
      </c>
      <c r="EA725" s="1454"/>
      <c r="EB725" s="1454"/>
      <c r="EC725" s="1454"/>
      <c r="ED725" s="1454"/>
      <c r="EE725" s="1454">
        <f t="shared" si="26"/>
        <v>0</v>
      </c>
      <c r="EF725" s="1454"/>
      <c r="EG725" s="1454"/>
      <c r="EH725" s="1454"/>
      <c r="EI725" s="1454"/>
      <c r="EJ725" s="1454">
        <f t="shared" si="27"/>
        <v>0</v>
      </c>
      <c r="EK725" s="1454"/>
      <c r="EL725" s="1454"/>
      <c r="EM725" s="1454"/>
      <c r="EN725" s="1454"/>
      <c r="EO725" s="1454">
        <f t="shared" si="28"/>
        <v>0</v>
      </c>
      <c r="EP725" s="1454"/>
      <c r="EQ725" s="1454"/>
      <c r="ER725" s="1454"/>
      <c r="ES725" s="1454"/>
      <c r="ET725" s="1454">
        <f t="shared" si="29"/>
        <v>0</v>
      </c>
      <c r="EU725" s="1454"/>
      <c r="EV725" s="1454"/>
      <c r="EW725" s="1454"/>
      <c r="EX725" s="1454"/>
      <c r="EZ725" s="1456" t="str">
        <f t="shared" si="30"/>
        <v/>
      </c>
      <c r="FA725" s="1463"/>
      <c r="FB725" s="1463"/>
      <c r="FC725" s="1463"/>
      <c r="FD725" s="1457"/>
      <c r="FE725" s="1456" t="str">
        <f t="shared" si="31"/>
        <v/>
      </c>
      <c r="FF725" s="1463"/>
      <c r="FG725" s="1463"/>
      <c r="FH725" s="1463"/>
      <c r="FI725" s="1457"/>
      <c r="FJ725" s="1456" t="str">
        <f t="shared" si="32"/>
        <v/>
      </c>
      <c r="FK725" s="1463"/>
      <c r="FL725" s="1463"/>
      <c r="FM725" s="1463"/>
      <c r="FN725" s="1457"/>
      <c r="FO725" s="1456" t="str">
        <f t="shared" si="33"/>
        <v/>
      </c>
      <c r="FP725" s="1463"/>
      <c r="FQ725" s="1463"/>
      <c r="FR725" s="1463"/>
      <c r="FS725" s="1457"/>
      <c r="FT725" s="1456" t="str">
        <f t="shared" si="34"/>
        <v/>
      </c>
      <c r="FU725" s="1463"/>
      <c r="FV725" s="1463"/>
      <c r="FW725" s="1463"/>
      <c r="FX725" s="1457"/>
      <c r="FY725" s="1456" t="str">
        <f t="shared" si="35"/>
        <v/>
      </c>
      <c r="FZ725" s="1463"/>
      <c r="GA725" s="1463"/>
      <c r="GB725" s="1463"/>
      <c r="GC725" s="1457"/>
    </row>
    <row r="726" spans="1:185" ht="12.95" customHeight="1">
      <c r="B726" s="1365"/>
      <c r="C726" s="1366"/>
      <c r="D726" s="1366"/>
      <c r="E726" s="1366"/>
      <c r="F726" s="1367"/>
      <c r="G726" s="1347"/>
      <c r="H726" s="1348"/>
      <c r="I726" s="1348"/>
      <c r="J726" s="1349"/>
      <c r="K726" s="1350"/>
      <c r="L726" s="1351"/>
      <c r="M726" s="1351"/>
      <c r="N726" s="1352"/>
      <c r="O726" s="1343"/>
      <c r="P726" s="1344"/>
      <c r="Q726" s="1344"/>
      <c r="R726" s="1344"/>
      <c r="S726" s="1345"/>
      <c r="T726" s="1343"/>
      <c r="U726" s="1344"/>
      <c r="V726" s="1344"/>
      <c r="W726" s="1345"/>
      <c r="X726" s="1340">
        <f t="shared" si="8"/>
        <v>0</v>
      </c>
      <c r="Y726" s="1341"/>
      <c r="Z726" s="1341"/>
      <c r="AA726" s="1341"/>
      <c r="AB726" s="1342"/>
      <c r="AC726" s="1353"/>
      <c r="AD726" s="1354"/>
      <c r="AE726" s="1354"/>
      <c r="AF726" s="1354"/>
      <c r="AG726" s="1355"/>
      <c r="AH726" s="1336" t="str">
        <f t="shared" si="36"/>
        <v/>
      </c>
      <c r="AI726" s="1337"/>
      <c r="AJ726" s="1338"/>
      <c r="AK726" s="1365" t="s">
        <v>591</v>
      </c>
      <c r="AL726" s="1366"/>
      <c r="AM726" s="1366"/>
      <c r="AN726" s="1366"/>
      <c r="AO726" s="1367"/>
      <c r="AP726" s="3"/>
      <c r="AQ726" s="3"/>
      <c r="AR726" s="3"/>
      <c r="AS726" s="3"/>
      <c r="AY726" s="1084"/>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56">
        <f t="shared" si="37"/>
        <v>0</v>
      </c>
      <c r="CH726" s="1457"/>
      <c r="CI726" s="1461">
        <f t="shared" si="38"/>
        <v>0</v>
      </c>
      <c r="CJ726" s="1462"/>
      <c r="CK726" s="1456">
        <f t="shared" si="16"/>
        <v>0</v>
      </c>
      <c r="CL726" s="1457"/>
      <c r="CM726" s="1461">
        <f t="shared" si="17"/>
        <v>0</v>
      </c>
      <c r="CN726" s="1462"/>
      <c r="CO726" s="3"/>
      <c r="CP726" s="1458">
        <f t="shared" si="18"/>
        <v>0</v>
      </c>
      <c r="CQ726" s="1459"/>
      <c r="CR726" s="1459"/>
      <c r="CS726" s="1459"/>
      <c r="CT726" s="1460"/>
      <c r="CU726" s="1452">
        <f t="shared" si="19"/>
        <v>0</v>
      </c>
      <c r="CV726" s="1452"/>
      <c r="CW726" s="1452"/>
      <c r="CX726" s="1452"/>
      <c r="CY726" s="1452"/>
      <c r="CZ726" s="1452">
        <f t="shared" si="20"/>
        <v>0</v>
      </c>
      <c r="DA726" s="1452"/>
      <c r="DB726" s="1452"/>
      <c r="DC726" s="1452"/>
      <c r="DD726" s="1452"/>
      <c r="DE726" s="1452">
        <f t="shared" si="21"/>
        <v>0</v>
      </c>
      <c r="DF726" s="1452"/>
      <c r="DG726" s="1452"/>
      <c r="DH726" s="1452"/>
      <c r="DI726" s="1452"/>
      <c r="DJ726" s="1452">
        <f t="shared" si="22"/>
        <v>0</v>
      </c>
      <c r="DK726" s="1452"/>
      <c r="DL726" s="1452"/>
      <c r="DM726" s="1452"/>
      <c r="DN726" s="1452"/>
      <c r="DO726" s="1452">
        <f t="shared" si="23"/>
        <v>0</v>
      </c>
      <c r="DP726" s="1452"/>
      <c r="DQ726" s="1452"/>
      <c r="DR726" s="1452"/>
      <c r="DS726" s="1452"/>
      <c r="DT726" s="6"/>
      <c r="DU726" s="1454">
        <f t="shared" si="24"/>
        <v>0</v>
      </c>
      <c r="DV726" s="1454"/>
      <c r="DW726" s="1454"/>
      <c r="DX726" s="1454"/>
      <c r="DY726" s="1454"/>
      <c r="DZ726" s="1454">
        <f t="shared" si="25"/>
        <v>0</v>
      </c>
      <c r="EA726" s="1454"/>
      <c r="EB726" s="1454"/>
      <c r="EC726" s="1454"/>
      <c r="ED726" s="1454"/>
      <c r="EE726" s="1454">
        <f t="shared" si="26"/>
        <v>0</v>
      </c>
      <c r="EF726" s="1454"/>
      <c r="EG726" s="1454"/>
      <c r="EH726" s="1454"/>
      <c r="EI726" s="1454"/>
      <c r="EJ726" s="1454">
        <f t="shared" si="27"/>
        <v>0</v>
      </c>
      <c r="EK726" s="1454"/>
      <c r="EL726" s="1454"/>
      <c r="EM726" s="1454"/>
      <c r="EN726" s="1454"/>
      <c r="EO726" s="1454">
        <f t="shared" si="28"/>
        <v>0</v>
      </c>
      <c r="EP726" s="1454"/>
      <c r="EQ726" s="1454"/>
      <c r="ER726" s="1454"/>
      <c r="ES726" s="1454"/>
      <c r="ET726" s="1454">
        <f t="shared" si="29"/>
        <v>0</v>
      </c>
      <c r="EU726" s="1454"/>
      <c r="EV726" s="1454"/>
      <c r="EW726" s="1454"/>
      <c r="EX726" s="1454"/>
      <c r="EY726" s="4"/>
      <c r="EZ726" s="1456" t="str">
        <f t="shared" si="30"/>
        <v/>
      </c>
      <c r="FA726" s="1463"/>
      <c r="FB726" s="1463"/>
      <c r="FC726" s="1463"/>
      <c r="FD726" s="1457"/>
      <c r="FE726" s="1456" t="str">
        <f t="shared" si="31"/>
        <v/>
      </c>
      <c r="FF726" s="1463"/>
      <c r="FG726" s="1463"/>
      <c r="FH726" s="1463"/>
      <c r="FI726" s="1457"/>
      <c r="FJ726" s="1456" t="str">
        <f t="shared" si="32"/>
        <v/>
      </c>
      <c r="FK726" s="1463"/>
      <c r="FL726" s="1463"/>
      <c r="FM726" s="1463"/>
      <c r="FN726" s="1457"/>
      <c r="FO726" s="1456" t="str">
        <f t="shared" si="33"/>
        <v/>
      </c>
      <c r="FP726" s="1463"/>
      <c r="FQ726" s="1463"/>
      <c r="FR726" s="1463"/>
      <c r="FS726" s="1457"/>
      <c r="FT726" s="1456" t="str">
        <f t="shared" si="34"/>
        <v/>
      </c>
      <c r="FU726" s="1463"/>
      <c r="FV726" s="1463"/>
      <c r="FW726" s="1463"/>
      <c r="FX726" s="1457"/>
      <c r="FY726" s="1456" t="str">
        <f t="shared" si="35"/>
        <v/>
      </c>
      <c r="FZ726" s="1463"/>
      <c r="GA726" s="1463"/>
      <c r="GB726" s="1463"/>
      <c r="GC726" s="1457"/>
    </row>
    <row r="727" spans="1:185" ht="12.95" customHeight="1">
      <c r="A727" s="4"/>
      <c r="B727" s="1365"/>
      <c r="C727" s="1366"/>
      <c r="D727" s="1366"/>
      <c r="E727" s="1366"/>
      <c r="F727" s="1367"/>
      <c r="G727" s="1347"/>
      <c r="H727" s="1348"/>
      <c r="I727" s="1348"/>
      <c r="J727" s="1349"/>
      <c r="K727" s="1350"/>
      <c r="L727" s="1351"/>
      <c r="M727" s="1351"/>
      <c r="N727" s="1352"/>
      <c r="O727" s="1343"/>
      <c r="P727" s="1344"/>
      <c r="Q727" s="1344"/>
      <c r="R727" s="1344"/>
      <c r="S727" s="1345"/>
      <c r="T727" s="1343"/>
      <c r="U727" s="1344"/>
      <c r="V727" s="1344"/>
      <c r="W727" s="1345"/>
      <c r="X727" s="1340">
        <f t="shared" si="8"/>
        <v>0</v>
      </c>
      <c r="Y727" s="1341"/>
      <c r="Z727" s="1341"/>
      <c r="AA727" s="1341"/>
      <c r="AB727" s="1342"/>
      <c r="AC727" s="1353"/>
      <c r="AD727" s="1354"/>
      <c r="AE727" s="1354"/>
      <c r="AF727" s="1354"/>
      <c r="AG727" s="1355"/>
      <c r="AH727" s="1336" t="str">
        <f t="shared" si="36"/>
        <v/>
      </c>
      <c r="AI727" s="1337"/>
      <c r="AJ727" s="1338"/>
      <c r="AK727" s="1365" t="s">
        <v>591</v>
      </c>
      <c r="AL727" s="1366"/>
      <c r="AM727" s="1366"/>
      <c r="AN727" s="1366"/>
      <c r="AO727" s="1367"/>
      <c r="AP727" s="3"/>
      <c r="AQ727" s="3"/>
      <c r="AR727" s="3"/>
      <c r="AS727" s="3"/>
      <c r="AY727" s="1084"/>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56">
        <f t="shared" si="37"/>
        <v>0</v>
      </c>
      <c r="CH727" s="1457"/>
      <c r="CI727" s="1461">
        <f t="shared" si="38"/>
        <v>0</v>
      </c>
      <c r="CJ727" s="1462"/>
      <c r="CK727" s="1456">
        <f t="shared" si="16"/>
        <v>0</v>
      </c>
      <c r="CL727" s="1457"/>
      <c r="CM727" s="1461">
        <f t="shared" si="17"/>
        <v>0</v>
      </c>
      <c r="CN727" s="1462"/>
      <c r="CO727" s="3"/>
      <c r="CP727" s="1458">
        <f t="shared" si="18"/>
        <v>0</v>
      </c>
      <c r="CQ727" s="1459"/>
      <c r="CR727" s="1459"/>
      <c r="CS727" s="1459"/>
      <c r="CT727" s="1460"/>
      <c r="CU727" s="1452">
        <f t="shared" si="19"/>
        <v>0</v>
      </c>
      <c r="CV727" s="1452"/>
      <c r="CW727" s="1452"/>
      <c r="CX727" s="1452"/>
      <c r="CY727" s="1452"/>
      <c r="CZ727" s="1452">
        <f t="shared" si="20"/>
        <v>0</v>
      </c>
      <c r="DA727" s="1452"/>
      <c r="DB727" s="1452"/>
      <c r="DC727" s="1452"/>
      <c r="DD727" s="1452"/>
      <c r="DE727" s="1452">
        <f t="shared" si="21"/>
        <v>0</v>
      </c>
      <c r="DF727" s="1452"/>
      <c r="DG727" s="1452"/>
      <c r="DH727" s="1452"/>
      <c r="DI727" s="1452"/>
      <c r="DJ727" s="1452">
        <f t="shared" si="22"/>
        <v>0</v>
      </c>
      <c r="DK727" s="1452"/>
      <c r="DL727" s="1452"/>
      <c r="DM727" s="1452"/>
      <c r="DN727" s="1452"/>
      <c r="DO727" s="1452">
        <f t="shared" si="23"/>
        <v>0</v>
      </c>
      <c r="DP727" s="1452"/>
      <c r="DQ727" s="1452"/>
      <c r="DR727" s="1452"/>
      <c r="DS727" s="1452"/>
      <c r="DT727" s="6"/>
      <c r="DU727" s="1454">
        <f t="shared" si="24"/>
        <v>0</v>
      </c>
      <c r="DV727" s="1454"/>
      <c r="DW727" s="1454"/>
      <c r="DX727" s="1454"/>
      <c r="DY727" s="1454"/>
      <c r="DZ727" s="1454">
        <f t="shared" si="25"/>
        <v>0</v>
      </c>
      <c r="EA727" s="1454"/>
      <c r="EB727" s="1454"/>
      <c r="EC727" s="1454"/>
      <c r="ED727" s="1454"/>
      <c r="EE727" s="1454">
        <f t="shared" si="26"/>
        <v>0</v>
      </c>
      <c r="EF727" s="1454"/>
      <c r="EG727" s="1454"/>
      <c r="EH727" s="1454"/>
      <c r="EI727" s="1454"/>
      <c r="EJ727" s="1454">
        <f t="shared" si="27"/>
        <v>0</v>
      </c>
      <c r="EK727" s="1454"/>
      <c r="EL727" s="1454"/>
      <c r="EM727" s="1454"/>
      <c r="EN727" s="1454"/>
      <c r="EO727" s="1454">
        <f t="shared" si="28"/>
        <v>0</v>
      </c>
      <c r="EP727" s="1454"/>
      <c r="EQ727" s="1454"/>
      <c r="ER727" s="1454"/>
      <c r="ES727" s="1454"/>
      <c r="ET727" s="1454">
        <f t="shared" si="29"/>
        <v>0</v>
      </c>
      <c r="EU727" s="1454"/>
      <c r="EV727" s="1454"/>
      <c r="EW727" s="1454"/>
      <c r="EX727" s="1454"/>
      <c r="EY727" s="4"/>
      <c r="EZ727" s="1456" t="str">
        <f t="shared" si="30"/>
        <v/>
      </c>
      <c r="FA727" s="1463"/>
      <c r="FB727" s="1463"/>
      <c r="FC727" s="1463"/>
      <c r="FD727" s="1457"/>
      <c r="FE727" s="1456" t="str">
        <f t="shared" si="31"/>
        <v/>
      </c>
      <c r="FF727" s="1463"/>
      <c r="FG727" s="1463"/>
      <c r="FH727" s="1463"/>
      <c r="FI727" s="1457"/>
      <c r="FJ727" s="1456" t="str">
        <f t="shared" si="32"/>
        <v/>
      </c>
      <c r="FK727" s="1463"/>
      <c r="FL727" s="1463"/>
      <c r="FM727" s="1463"/>
      <c r="FN727" s="1457"/>
      <c r="FO727" s="1456" t="str">
        <f t="shared" si="33"/>
        <v/>
      </c>
      <c r="FP727" s="1463"/>
      <c r="FQ727" s="1463"/>
      <c r="FR727" s="1463"/>
      <c r="FS727" s="1457"/>
      <c r="FT727" s="1456" t="str">
        <f t="shared" si="34"/>
        <v/>
      </c>
      <c r="FU727" s="1463"/>
      <c r="FV727" s="1463"/>
      <c r="FW727" s="1463"/>
      <c r="FX727" s="1457"/>
      <c r="FY727" s="1456" t="str">
        <f t="shared" si="35"/>
        <v/>
      </c>
      <c r="FZ727" s="1463"/>
      <c r="GA727" s="1463"/>
      <c r="GB727" s="1463"/>
      <c r="GC727" s="1457"/>
    </row>
    <row r="728" spans="1:185" ht="12.95" customHeight="1">
      <c r="A728" s="4"/>
      <c r="B728" s="1365"/>
      <c r="C728" s="1366"/>
      <c r="D728" s="1366"/>
      <c r="E728" s="1366"/>
      <c r="F728" s="1367"/>
      <c r="G728" s="1347"/>
      <c r="H728" s="1348"/>
      <c r="I728" s="1348"/>
      <c r="J728" s="1349"/>
      <c r="K728" s="1350"/>
      <c r="L728" s="1351"/>
      <c r="M728" s="1351"/>
      <c r="N728" s="1352"/>
      <c r="O728" s="1343"/>
      <c r="P728" s="1344"/>
      <c r="Q728" s="1344"/>
      <c r="R728" s="1344"/>
      <c r="S728" s="1345"/>
      <c r="T728" s="1343"/>
      <c r="U728" s="1344"/>
      <c r="V728" s="1344"/>
      <c r="W728" s="1345"/>
      <c r="X728" s="1340">
        <f t="shared" si="8"/>
        <v>0</v>
      </c>
      <c r="Y728" s="1341"/>
      <c r="Z728" s="1341"/>
      <c r="AA728" s="1341"/>
      <c r="AB728" s="1342"/>
      <c r="AC728" s="1353"/>
      <c r="AD728" s="1354"/>
      <c r="AE728" s="1354"/>
      <c r="AF728" s="1354"/>
      <c r="AG728" s="1355"/>
      <c r="AH728" s="1336" t="str">
        <f t="shared" si="36"/>
        <v/>
      </c>
      <c r="AI728" s="1337"/>
      <c r="AJ728" s="1338"/>
      <c r="AK728" s="1365" t="s">
        <v>591</v>
      </c>
      <c r="AL728" s="1366"/>
      <c r="AM728" s="1366"/>
      <c r="AN728" s="1366"/>
      <c r="AO728" s="1367"/>
      <c r="AP728" s="3"/>
      <c r="AQ728" s="3"/>
      <c r="AR728" s="3"/>
      <c r="AS728" s="3"/>
      <c r="AY728" s="1084"/>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56">
        <f t="shared" si="37"/>
        <v>0</v>
      </c>
      <c r="CH728" s="1457"/>
      <c r="CI728" s="1461">
        <f t="shared" si="38"/>
        <v>0</v>
      </c>
      <c r="CJ728" s="1462"/>
      <c r="CK728" s="1456">
        <f t="shared" si="16"/>
        <v>0</v>
      </c>
      <c r="CL728" s="1457"/>
      <c r="CM728" s="1461">
        <f t="shared" si="17"/>
        <v>0</v>
      </c>
      <c r="CN728" s="1462"/>
      <c r="CO728" s="3"/>
      <c r="CP728" s="1458">
        <f t="shared" si="18"/>
        <v>0</v>
      </c>
      <c r="CQ728" s="1459"/>
      <c r="CR728" s="1459"/>
      <c r="CS728" s="1459"/>
      <c r="CT728" s="1460"/>
      <c r="CU728" s="1452">
        <f t="shared" si="19"/>
        <v>0</v>
      </c>
      <c r="CV728" s="1452"/>
      <c r="CW728" s="1452"/>
      <c r="CX728" s="1452"/>
      <c r="CY728" s="1452"/>
      <c r="CZ728" s="1452">
        <f t="shared" si="20"/>
        <v>0</v>
      </c>
      <c r="DA728" s="1452"/>
      <c r="DB728" s="1452"/>
      <c r="DC728" s="1452"/>
      <c r="DD728" s="1452"/>
      <c r="DE728" s="1452">
        <f t="shared" si="21"/>
        <v>0</v>
      </c>
      <c r="DF728" s="1452"/>
      <c r="DG728" s="1452"/>
      <c r="DH728" s="1452"/>
      <c r="DI728" s="1452"/>
      <c r="DJ728" s="1452">
        <f t="shared" si="22"/>
        <v>0</v>
      </c>
      <c r="DK728" s="1452"/>
      <c r="DL728" s="1452"/>
      <c r="DM728" s="1452"/>
      <c r="DN728" s="1452"/>
      <c r="DO728" s="1452">
        <f t="shared" si="23"/>
        <v>0</v>
      </c>
      <c r="DP728" s="1452"/>
      <c r="DQ728" s="1452"/>
      <c r="DR728" s="1452"/>
      <c r="DS728" s="1452"/>
      <c r="DT728" s="6"/>
      <c r="DU728" s="1454">
        <f t="shared" si="24"/>
        <v>0</v>
      </c>
      <c r="DV728" s="1454"/>
      <c r="DW728" s="1454"/>
      <c r="DX728" s="1454"/>
      <c r="DY728" s="1454"/>
      <c r="DZ728" s="1454">
        <f t="shared" si="25"/>
        <v>0</v>
      </c>
      <c r="EA728" s="1454"/>
      <c r="EB728" s="1454"/>
      <c r="EC728" s="1454"/>
      <c r="ED728" s="1454"/>
      <c r="EE728" s="1454">
        <f t="shared" si="26"/>
        <v>0</v>
      </c>
      <c r="EF728" s="1454"/>
      <c r="EG728" s="1454"/>
      <c r="EH728" s="1454"/>
      <c r="EI728" s="1454"/>
      <c r="EJ728" s="1454">
        <f t="shared" si="27"/>
        <v>0</v>
      </c>
      <c r="EK728" s="1454"/>
      <c r="EL728" s="1454"/>
      <c r="EM728" s="1454"/>
      <c r="EN728" s="1454"/>
      <c r="EO728" s="1454">
        <f t="shared" si="28"/>
        <v>0</v>
      </c>
      <c r="EP728" s="1454"/>
      <c r="EQ728" s="1454"/>
      <c r="ER728" s="1454"/>
      <c r="ES728" s="1454"/>
      <c r="ET728" s="1454">
        <f t="shared" si="29"/>
        <v>0</v>
      </c>
      <c r="EU728" s="1454"/>
      <c r="EV728" s="1454"/>
      <c r="EW728" s="1454"/>
      <c r="EX728" s="1454"/>
      <c r="EY728" s="4"/>
      <c r="EZ728" s="1456" t="str">
        <f t="shared" si="30"/>
        <v/>
      </c>
      <c r="FA728" s="1463"/>
      <c r="FB728" s="1463"/>
      <c r="FC728" s="1463"/>
      <c r="FD728" s="1457"/>
      <c r="FE728" s="1456" t="str">
        <f t="shared" si="31"/>
        <v/>
      </c>
      <c r="FF728" s="1463"/>
      <c r="FG728" s="1463"/>
      <c r="FH728" s="1463"/>
      <c r="FI728" s="1457"/>
      <c r="FJ728" s="1456" t="str">
        <f t="shared" si="32"/>
        <v/>
      </c>
      <c r="FK728" s="1463"/>
      <c r="FL728" s="1463"/>
      <c r="FM728" s="1463"/>
      <c r="FN728" s="1457"/>
      <c r="FO728" s="1456" t="str">
        <f t="shared" si="33"/>
        <v/>
      </c>
      <c r="FP728" s="1463"/>
      <c r="FQ728" s="1463"/>
      <c r="FR728" s="1463"/>
      <c r="FS728" s="1457"/>
      <c r="FT728" s="1456" t="str">
        <f t="shared" si="34"/>
        <v/>
      </c>
      <c r="FU728" s="1463"/>
      <c r="FV728" s="1463"/>
      <c r="FW728" s="1463"/>
      <c r="FX728" s="1457"/>
      <c r="FY728" s="1456" t="str">
        <f t="shared" si="35"/>
        <v/>
      </c>
      <c r="FZ728" s="1463"/>
      <c r="GA728" s="1463"/>
      <c r="GB728" s="1463"/>
      <c r="GC728" s="1457"/>
    </row>
    <row r="729" spans="1:185" ht="12.95" customHeight="1">
      <c r="A729" s="4"/>
      <c r="B729" s="1365"/>
      <c r="C729" s="1366"/>
      <c r="D729" s="1366"/>
      <c r="E729" s="1366"/>
      <c r="F729" s="1367"/>
      <c r="G729" s="1347"/>
      <c r="H729" s="1348"/>
      <c r="I729" s="1348"/>
      <c r="J729" s="1349"/>
      <c r="K729" s="1350"/>
      <c r="L729" s="1351"/>
      <c r="M729" s="1351"/>
      <c r="N729" s="1352"/>
      <c r="O729" s="1343"/>
      <c r="P729" s="1344"/>
      <c r="Q729" s="1344"/>
      <c r="R729" s="1344"/>
      <c r="S729" s="1345"/>
      <c r="T729" s="1343"/>
      <c r="U729" s="1344"/>
      <c r="V729" s="1344"/>
      <c r="W729" s="1345"/>
      <c r="X729" s="1340">
        <f t="shared" si="8"/>
        <v>0</v>
      </c>
      <c r="Y729" s="1341"/>
      <c r="Z729" s="1341"/>
      <c r="AA729" s="1341"/>
      <c r="AB729" s="1342"/>
      <c r="AC729" s="1353"/>
      <c r="AD729" s="1354"/>
      <c r="AE729" s="1354"/>
      <c r="AF729" s="1354"/>
      <c r="AG729" s="1355"/>
      <c r="AH729" s="1336" t="str">
        <f t="shared" si="36"/>
        <v/>
      </c>
      <c r="AI729" s="1337"/>
      <c r="AJ729" s="1338"/>
      <c r="AK729" s="1365" t="s">
        <v>591</v>
      </c>
      <c r="AL729" s="1366"/>
      <c r="AM729" s="1366"/>
      <c r="AN729" s="1366"/>
      <c r="AO729" s="1367"/>
      <c r="AP729" s="3"/>
      <c r="AQ729" s="3"/>
      <c r="AR729" s="3"/>
      <c r="AS729" s="3"/>
      <c r="AY729" s="1084"/>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56">
        <f t="shared" si="37"/>
        <v>0</v>
      </c>
      <c r="CH729" s="1457"/>
      <c r="CI729" s="1461">
        <f t="shared" si="38"/>
        <v>0</v>
      </c>
      <c r="CJ729" s="1462"/>
      <c r="CK729" s="1456">
        <f t="shared" si="16"/>
        <v>0</v>
      </c>
      <c r="CL729" s="1457"/>
      <c r="CM729" s="1461">
        <f t="shared" si="17"/>
        <v>0</v>
      </c>
      <c r="CN729" s="1462"/>
      <c r="CO729" s="3"/>
      <c r="CP729" s="1458">
        <f t="shared" si="18"/>
        <v>0</v>
      </c>
      <c r="CQ729" s="1459"/>
      <c r="CR729" s="1459"/>
      <c r="CS729" s="1459"/>
      <c r="CT729" s="1460"/>
      <c r="CU729" s="1452">
        <f t="shared" si="19"/>
        <v>0</v>
      </c>
      <c r="CV729" s="1452"/>
      <c r="CW729" s="1452"/>
      <c r="CX729" s="1452"/>
      <c r="CY729" s="1452"/>
      <c r="CZ729" s="1452">
        <f t="shared" si="20"/>
        <v>0</v>
      </c>
      <c r="DA729" s="1452"/>
      <c r="DB729" s="1452"/>
      <c r="DC729" s="1452"/>
      <c r="DD729" s="1452"/>
      <c r="DE729" s="1452">
        <f t="shared" si="21"/>
        <v>0</v>
      </c>
      <c r="DF729" s="1452"/>
      <c r="DG729" s="1452"/>
      <c r="DH729" s="1452"/>
      <c r="DI729" s="1452"/>
      <c r="DJ729" s="1452">
        <f t="shared" si="22"/>
        <v>0</v>
      </c>
      <c r="DK729" s="1452"/>
      <c r="DL729" s="1452"/>
      <c r="DM729" s="1452"/>
      <c r="DN729" s="1452"/>
      <c r="DO729" s="1452">
        <f t="shared" si="23"/>
        <v>0</v>
      </c>
      <c r="DP729" s="1452"/>
      <c r="DQ729" s="1452"/>
      <c r="DR729" s="1452"/>
      <c r="DS729" s="1452"/>
      <c r="DT729" s="6"/>
      <c r="DU729" s="1454">
        <f t="shared" si="24"/>
        <v>0</v>
      </c>
      <c r="DV729" s="1454"/>
      <c r="DW729" s="1454"/>
      <c r="DX729" s="1454"/>
      <c r="DY729" s="1454"/>
      <c r="DZ729" s="1454">
        <f t="shared" si="25"/>
        <v>0</v>
      </c>
      <c r="EA729" s="1454"/>
      <c r="EB729" s="1454"/>
      <c r="EC729" s="1454"/>
      <c r="ED729" s="1454"/>
      <c r="EE729" s="1454">
        <f t="shared" si="26"/>
        <v>0</v>
      </c>
      <c r="EF729" s="1454"/>
      <c r="EG729" s="1454"/>
      <c r="EH729" s="1454"/>
      <c r="EI729" s="1454"/>
      <c r="EJ729" s="1454">
        <f t="shared" si="27"/>
        <v>0</v>
      </c>
      <c r="EK729" s="1454"/>
      <c r="EL729" s="1454"/>
      <c r="EM729" s="1454"/>
      <c r="EN729" s="1454"/>
      <c r="EO729" s="1454">
        <f t="shared" si="28"/>
        <v>0</v>
      </c>
      <c r="EP729" s="1454"/>
      <c r="EQ729" s="1454"/>
      <c r="ER729" s="1454"/>
      <c r="ES729" s="1454"/>
      <c r="ET729" s="1454">
        <f t="shared" si="29"/>
        <v>0</v>
      </c>
      <c r="EU729" s="1454"/>
      <c r="EV729" s="1454"/>
      <c r="EW729" s="1454"/>
      <c r="EX729" s="1454"/>
      <c r="EZ729" s="1456" t="str">
        <f t="shared" si="30"/>
        <v/>
      </c>
      <c r="FA729" s="1463"/>
      <c r="FB729" s="1463"/>
      <c r="FC729" s="1463"/>
      <c r="FD729" s="1457"/>
      <c r="FE729" s="1456" t="str">
        <f t="shared" si="31"/>
        <v/>
      </c>
      <c r="FF729" s="1463"/>
      <c r="FG729" s="1463"/>
      <c r="FH729" s="1463"/>
      <c r="FI729" s="1457"/>
      <c r="FJ729" s="1456" t="str">
        <f t="shared" si="32"/>
        <v/>
      </c>
      <c r="FK729" s="1463"/>
      <c r="FL729" s="1463"/>
      <c r="FM729" s="1463"/>
      <c r="FN729" s="1457"/>
      <c r="FO729" s="1456" t="str">
        <f t="shared" si="33"/>
        <v/>
      </c>
      <c r="FP729" s="1463"/>
      <c r="FQ729" s="1463"/>
      <c r="FR729" s="1463"/>
      <c r="FS729" s="1457"/>
      <c r="FT729" s="1456" t="str">
        <f t="shared" si="34"/>
        <v/>
      </c>
      <c r="FU729" s="1463"/>
      <c r="FV729" s="1463"/>
      <c r="FW729" s="1463"/>
      <c r="FX729" s="1457"/>
      <c r="FY729" s="1456" t="str">
        <f t="shared" si="35"/>
        <v/>
      </c>
      <c r="FZ729" s="1463"/>
      <c r="GA729" s="1463"/>
      <c r="GB729" s="1463"/>
      <c r="GC729" s="1457"/>
    </row>
    <row r="730" spans="1:185" ht="12.95" customHeight="1">
      <c r="B730" s="1365"/>
      <c r="C730" s="1366"/>
      <c r="D730" s="1366"/>
      <c r="E730" s="1366"/>
      <c r="F730" s="1367"/>
      <c r="G730" s="1347"/>
      <c r="H730" s="1348"/>
      <c r="I730" s="1348"/>
      <c r="J730" s="1349"/>
      <c r="K730" s="1350"/>
      <c r="L730" s="1351"/>
      <c r="M730" s="1351"/>
      <c r="N730" s="1352"/>
      <c r="O730" s="1343"/>
      <c r="P730" s="1344"/>
      <c r="Q730" s="1344"/>
      <c r="R730" s="1344"/>
      <c r="S730" s="1345"/>
      <c r="T730" s="1343"/>
      <c r="U730" s="1344"/>
      <c r="V730" s="1344"/>
      <c r="W730" s="1345"/>
      <c r="X730" s="1340">
        <f t="shared" si="8"/>
        <v>0</v>
      </c>
      <c r="Y730" s="1341"/>
      <c r="Z730" s="1341"/>
      <c r="AA730" s="1341"/>
      <c r="AB730" s="1342"/>
      <c r="AC730" s="1353"/>
      <c r="AD730" s="1354"/>
      <c r="AE730" s="1354"/>
      <c r="AF730" s="1354"/>
      <c r="AG730" s="1355"/>
      <c r="AH730" s="1336" t="str">
        <f t="shared" si="36"/>
        <v/>
      </c>
      <c r="AI730" s="1337"/>
      <c r="AJ730" s="1338"/>
      <c r="AK730" s="1365" t="s">
        <v>591</v>
      </c>
      <c r="AL730" s="1366"/>
      <c r="AM730" s="1366"/>
      <c r="AN730" s="1366"/>
      <c r="AO730" s="1367"/>
      <c r="AP730" s="3"/>
      <c r="AQ730" s="3"/>
      <c r="AR730" s="3"/>
      <c r="AS730" s="3"/>
      <c r="AY730" s="1084"/>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56">
        <f t="shared" si="37"/>
        <v>0</v>
      </c>
      <c r="CH730" s="1457"/>
      <c r="CI730" s="1461">
        <f t="shared" si="38"/>
        <v>0</v>
      </c>
      <c r="CJ730" s="1462"/>
      <c r="CK730" s="1456">
        <f t="shared" si="16"/>
        <v>0</v>
      </c>
      <c r="CL730" s="1457"/>
      <c r="CM730" s="1461">
        <f t="shared" si="17"/>
        <v>0</v>
      </c>
      <c r="CN730" s="1462"/>
      <c r="CO730" s="3"/>
      <c r="CP730" s="1458">
        <f t="shared" si="18"/>
        <v>0</v>
      </c>
      <c r="CQ730" s="1459"/>
      <c r="CR730" s="1459"/>
      <c r="CS730" s="1459"/>
      <c r="CT730" s="1460"/>
      <c r="CU730" s="1452">
        <f t="shared" si="19"/>
        <v>0</v>
      </c>
      <c r="CV730" s="1452"/>
      <c r="CW730" s="1452"/>
      <c r="CX730" s="1452"/>
      <c r="CY730" s="1452"/>
      <c r="CZ730" s="1452">
        <f t="shared" si="20"/>
        <v>0</v>
      </c>
      <c r="DA730" s="1452"/>
      <c r="DB730" s="1452"/>
      <c r="DC730" s="1452"/>
      <c r="DD730" s="1452"/>
      <c r="DE730" s="1452">
        <f t="shared" si="21"/>
        <v>0</v>
      </c>
      <c r="DF730" s="1452"/>
      <c r="DG730" s="1452"/>
      <c r="DH730" s="1452"/>
      <c r="DI730" s="1452"/>
      <c r="DJ730" s="1452">
        <f t="shared" si="22"/>
        <v>0</v>
      </c>
      <c r="DK730" s="1452"/>
      <c r="DL730" s="1452"/>
      <c r="DM730" s="1452"/>
      <c r="DN730" s="1452"/>
      <c r="DO730" s="1452">
        <f t="shared" si="23"/>
        <v>0</v>
      </c>
      <c r="DP730" s="1452"/>
      <c r="DQ730" s="1452"/>
      <c r="DR730" s="1452"/>
      <c r="DS730" s="1452"/>
      <c r="DT730" s="6"/>
      <c r="DU730" s="1454">
        <f t="shared" si="24"/>
        <v>0</v>
      </c>
      <c r="DV730" s="1454"/>
      <c r="DW730" s="1454"/>
      <c r="DX730" s="1454"/>
      <c r="DY730" s="1454"/>
      <c r="DZ730" s="1454">
        <f t="shared" si="25"/>
        <v>0</v>
      </c>
      <c r="EA730" s="1454"/>
      <c r="EB730" s="1454"/>
      <c r="EC730" s="1454"/>
      <c r="ED730" s="1454"/>
      <c r="EE730" s="1454">
        <f t="shared" si="26"/>
        <v>0</v>
      </c>
      <c r="EF730" s="1454"/>
      <c r="EG730" s="1454"/>
      <c r="EH730" s="1454"/>
      <c r="EI730" s="1454"/>
      <c r="EJ730" s="1454">
        <f t="shared" si="27"/>
        <v>0</v>
      </c>
      <c r="EK730" s="1454"/>
      <c r="EL730" s="1454"/>
      <c r="EM730" s="1454"/>
      <c r="EN730" s="1454"/>
      <c r="EO730" s="1454">
        <f t="shared" si="28"/>
        <v>0</v>
      </c>
      <c r="EP730" s="1454"/>
      <c r="EQ730" s="1454"/>
      <c r="ER730" s="1454"/>
      <c r="ES730" s="1454"/>
      <c r="ET730" s="1454">
        <f t="shared" si="29"/>
        <v>0</v>
      </c>
      <c r="EU730" s="1454"/>
      <c r="EV730" s="1454"/>
      <c r="EW730" s="1454"/>
      <c r="EX730" s="1454"/>
      <c r="EZ730" s="1456" t="str">
        <f t="shared" si="30"/>
        <v/>
      </c>
      <c r="FA730" s="1463"/>
      <c r="FB730" s="1463"/>
      <c r="FC730" s="1463"/>
      <c r="FD730" s="1457"/>
      <c r="FE730" s="1456" t="str">
        <f t="shared" si="31"/>
        <v/>
      </c>
      <c r="FF730" s="1463"/>
      <c r="FG730" s="1463"/>
      <c r="FH730" s="1463"/>
      <c r="FI730" s="1457"/>
      <c r="FJ730" s="1456" t="str">
        <f t="shared" si="32"/>
        <v/>
      </c>
      <c r="FK730" s="1463"/>
      <c r="FL730" s="1463"/>
      <c r="FM730" s="1463"/>
      <c r="FN730" s="1457"/>
      <c r="FO730" s="1456" t="str">
        <f t="shared" si="33"/>
        <v/>
      </c>
      <c r="FP730" s="1463"/>
      <c r="FQ730" s="1463"/>
      <c r="FR730" s="1463"/>
      <c r="FS730" s="1457"/>
      <c r="FT730" s="1456" t="str">
        <f t="shared" si="34"/>
        <v/>
      </c>
      <c r="FU730" s="1463"/>
      <c r="FV730" s="1463"/>
      <c r="FW730" s="1463"/>
      <c r="FX730" s="1457"/>
      <c r="FY730" s="1456" t="str">
        <f t="shared" si="35"/>
        <v/>
      </c>
      <c r="FZ730" s="1463"/>
      <c r="GA730" s="1463"/>
      <c r="GB730" s="1463"/>
      <c r="GC730" s="1457"/>
    </row>
    <row r="731" spans="1:185" ht="12.95" customHeight="1">
      <c r="B731" s="1365"/>
      <c r="C731" s="1366"/>
      <c r="D731" s="1366"/>
      <c r="E731" s="1366"/>
      <c r="F731" s="1367"/>
      <c r="G731" s="1347"/>
      <c r="H731" s="1348"/>
      <c r="I731" s="1348"/>
      <c r="J731" s="1349"/>
      <c r="K731" s="1350"/>
      <c r="L731" s="1351"/>
      <c r="M731" s="1351"/>
      <c r="N731" s="1352"/>
      <c r="O731" s="1343"/>
      <c r="P731" s="1344"/>
      <c r="Q731" s="1344"/>
      <c r="R731" s="1344"/>
      <c r="S731" s="1345"/>
      <c r="T731" s="1343"/>
      <c r="U731" s="1344"/>
      <c r="V731" s="1344"/>
      <c r="W731" s="1345"/>
      <c r="X731" s="1340">
        <f t="shared" si="8"/>
        <v>0</v>
      </c>
      <c r="Y731" s="1341"/>
      <c r="Z731" s="1341"/>
      <c r="AA731" s="1341"/>
      <c r="AB731" s="1342"/>
      <c r="AC731" s="1353"/>
      <c r="AD731" s="1354"/>
      <c r="AE731" s="1354"/>
      <c r="AF731" s="1354"/>
      <c r="AG731" s="1355"/>
      <c r="AH731" s="1336" t="str">
        <f t="shared" si="36"/>
        <v/>
      </c>
      <c r="AI731" s="1337"/>
      <c r="AJ731" s="1338"/>
      <c r="AK731" s="1365" t="s">
        <v>591</v>
      </c>
      <c r="AL731" s="1366"/>
      <c r="AM731" s="1366"/>
      <c r="AN731" s="1366"/>
      <c r="AO731" s="1367"/>
      <c r="AP731" s="3"/>
      <c r="AQ731" s="3"/>
      <c r="AR731" s="3"/>
      <c r="AS731" s="3"/>
      <c r="AY731" s="1084"/>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56">
        <f t="shared" si="37"/>
        <v>0</v>
      </c>
      <c r="CH731" s="1457"/>
      <c r="CI731" s="1461">
        <f t="shared" si="38"/>
        <v>0</v>
      </c>
      <c r="CJ731" s="1462"/>
      <c r="CK731" s="1456">
        <f t="shared" si="16"/>
        <v>0</v>
      </c>
      <c r="CL731" s="1457"/>
      <c r="CM731" s="1461">
        <f t="shared" si="17"/>
        <v>0</v>
      </c>
      <c r="CN731" s="1462"/>
      <c r="CO731" s="3"/>
      <c r="CP731" s="1458">
        <f t="shared" si="18"/>
        <v>0</v>
      </c>
      <c r="CQ731" s="1459"/>
      <c r="CR731" s="1459"/>
      <c r="CS731" s="1459"/>
      <c r="CT731" s="1460"/>
      <c r="CU731" s="1452">
        <f t="shared" si="19"/>
        <v>0</v>
      </c>
      <c r="CV731" s="1452"/>
      <c r="CW731" s="1452"/>
      <c r="CX731" s="1452"/>
      <c r="CY731" s="1452"/>
      <c r="CZ731" s="1452">
        <f t="shared" si="20"/>
        <v>0</v>
      </c>
      <c r="DA731" s="1452"/>
      <c r="DB731" s="1452"/>
      <c r="DC731" s="1452"/>
      <c r="DD731" s="1452"/>
      <c r="DE731" s="1452">
        <f t="shared" si="21"/>
        <v>0</v>
      </c>
      <c r="DF731" s="1452"/>
      <c r="DG731" s="1452"/>
      <c r="DH731" s="1452"/>
      <c r="DI731" s="1452"/>
      <c r="DJ731" s="1452">
        <f t="shared" si="22"/>
        <v>0</v>
      </c>
      <c r="DK731" s="1452"/>
      <c r="DL731" s="1452"/>
      <c r="DM731" s="1452"/>
      <c r="DN731" s="1452"/>
      <c r="DO731" s="1452">
        <f t="shared" si="23"/>
        <v>0</v>
      </c>
      <c r="DP731" s="1452"/>
      <c r="DQ731" s="1452"/>
      <c r="DR731" s="1452"/>
      <c r="DS731" s="1452"/>
      <c r="DT731" s="6"/>
      <c r="DU731" s="1454">
        <f t="shared" si="24"/>
        <v>0</v>
      </c>
      <c r="DV731" s="1454"/>
      <c r="DW731" s="1454"/>
      <c r="DX731" s="1454"/>
      <c r="DY731" s="1454"/>
      <c r="DZ731" s="1454">
        <f t="shared" si="25"/>
        <v>0</v>
      </c>
      <c r="EA731" s="1454"/>
      <c r="EB731" s="1454"/>
      <c r="EC731" s="1454"/>
      <c r="ED731" s="1454"/>
      <c r="EE731" s="1454">
        <f t="shared" si="26"/>
        <v>0</v>
      </c>
      <c r="EF731" s="1454"/>
      <c r="EG731" s="1454"/>
      <c r="EH731" s="1454"/>
      <c r="EI731" s="1454"/>
      <c r="EJ731" s="1454">
        <f t="shared" si="27"/>
        <v>0</v>
      </c>
      <c r="EK731" s="1454"/>
      <c r="EL731" s="1454"/>
      <c r="EM731" s="1454"/>
      <c r="EN731" s="1454"/>
      <c r="EO731" s="1454">
        <f t="shared" si="28"/>
        <v>0</v>
      </c>
      <c r="EP731" s="1454"/>
      <c r="EQ731" s="1454"/>
      <c r="ER731" s="1454"/>
      <c r="ES731" s="1454"/>
      <c r="ET731" s="1454">
        <f t="shared" si="29"/>
        <v>0</v>
      </c>
      <c r="EU731" s="1454"/>
      <c r="EV731" s="1454"/>
      <c r="EW731" s="1454"/>
      <c r="EX731" s="1454"/>
      <c r="EZ731" s="1456" t="str">
        <f t="shared" si="30"/>
        <v/>
      </c>
      <c r="FA731" s="1463"/>
      <c r="FB731" s="1463"/>
      <c r="FC731" s="1463"/>
      <c r="FD731" s="1457"/>
      <c r="FE731" s="1456" t="str">
        <f t="shared" si="31"/>
        <v/>
      </c>
      <c r="FF731" s="1463"/>
      <c r="FG731" s="1463"/>
      <c r="FH731" s="1463"/>
      <c r="FI731" s="1457"/>
      <c r="FJ731" s="1456" t="str">
        <f t="shared" si="32"/>
        <v/>
      </c>
      <c r="FK731" s="1463"/>
      <c r="FL731" s="1463"/>
      <c r="FM731" s="1463"/>
      <c r="FN731" s="1457"/>
      <c r="FO731" s="1456" t="str">
        <f t="shared" si="33"/>
        <v/>
      </c>
      <c r="FP731" s="1463"/>
      <c r="FQ731" s="1463"/>
      <c r="FR731" s="1463"/>
      <c r="FS731" s="1457"/>
      <c r="FT731" s="1456" t="str">
        <f t="shared" si="34"/>
        <v/>
      </c>
      <c r="FU731" s="1463"/>
      <c r="FV731" s="1463"/>
      <c r="FW731" s="1463"/>
      <c r="FX731" s="1457"/>
      <c r="FY731" s="1456" t="str">
        <f t="shared" si="35"/>
        <v/>
      </c>
      <c r="FZ731" s="1463"/>
      <c r="GA731" s="1463"/>
      <c r="GB731" s="1463"/>
      <c r="GC731" s="1457"/>
    </row>
    <row r="732" spans="1:185" ht="12.95" customHeight="1">
      <c r="B732" s="1365"/>
      <c r="C732" s="1366"/>
      <c r="D732" s="1366"/>
      <c r="E732" s="1366"/>
      <c r="F732" s="1367"/>
      <c r="G732" s="1347"/>
      <c r="H732" s="1348"/>
      <c r="I732" s="1348"/>
      <c r="J732" s="1349"/>
      <c r="K732" s="1350"/>
      <c r="L732" s="1351"/>
      <c r="M732" s="1351"/>
      <c r="N732" s="1352"/>
      <c r="O732" s="1343"/>
      <c r="P732" s="1344"/>
      <c r="Q732" s="1344"/>
      <c r="R732" s="1344"/>
      <c r="S732" s="1345"/>
      <c r="T732" s="1343"/>
      <c r="U732" s="1344"/>
      <c r="V732" s="1344"/>
      <c r="W732" s="1345"/>
      <c r="X732" s="1340">
        <f t="shared" si="8"/>
        <v>0</v>
      </c>
      <c r="Y732" s="1341"/>
      <c r="Z732" s="1341"/>
      <c r="AA732" s="1341"/>
      <c r="AB732" s="1342"/>
      <c r="AC732" s="1353"/>
      <c r="AD732" s="1354"/>
      <c r="AE732" s="1354"/>
      <c r="AF732" s="1354"/>
      <c r="AG732" s="1355"/>
      <c r="AH732" s="1336" t="str">
        <f t="shared" si="36"/>
        <v/>
      </c>
      <c r="AI732" s="1337"/>
      <c r="AJ732" s="1338"/>
      <c r="AK732" s="1365" t="s">
        <v>591</v>
      </c>
      <c r="AL732" s="1366"/>
      <c r="AM732" s="1366"/>
      <c r="AN732" s="1366"/>
      <c r="AO732" s="1367"/>
      <c r="AP732" s="3"/>
      <c r="AQ732" s="3"/>
      <c r="AR732" s="3"/>
      <c r="AS732" s="3"/>
      <c r="AY732" s="1084"/>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56">
        <f t="shared" si="37"/>
        <v>0</v>
      </c>
      <c r="CH732" s="1457"/>
      <c r="CI732" s="1461">
        <f t="shared" si="38"/>
        <v>0</v>
      </c>
      <c r="CJ732" s="1462"/>
      <c r="CK732" s="1456">
        <f t="shared" si="16"/>
        <v>0</v>
      </c>
      <c r="CL732" s="1457"/>
      <c r="CM732" s="1461">
        <f t="shared" si="17"/>
        <v>0</v>
      </c>
      <c r="CN732" s="1462"/>
      <c r="CO732" s="3"/>
      <c r="CP732" s="1458">
        <f t="shared" si="18"/>
        <v>0</v>
      </c>
      <c r="CQ732" s="1459"/>
      <c r="CR732" s="1459"/>
      <c r="CS732" s="1459"/>
      <c r="CT732" s="1460"/>
      <c r="CU732" s="1452">
        <f t="shared" si="19"/>
        <v>0</v>
      </c>
      <c r="CV732" s="1452"/>
      <c r="CW732" s="1452"/>
      <c r="CX732" s="1452"/>
      <c r="CY732" s="1452"/>
      <c r="CZ732" s="1452">
        <f t="shared" si="20"/>
        <v>0</v>
      </c>
      <c r="DA732" s="1452"/>
      <c r="DB732" s="1452"/>
      <c r="DC732" s="1452"/>
      <c r="DD732" s="1452"/>
      <c r="DE732" s="1452">
        <f t="shared" si="21"/>
        <v>0</v>
      </c>
      <c r="DF732" s="1452"/>
      <c r="DG732" s="1452"/>
      <c r="DH732" s="1452"/>
      <c r="DI732" s="1452"/>
      <c r="DJ732" s="1452">
        <f t="shared" si="22"/>
        <v>0</v>
      </c>
      <c r="DK732" s="1452"/>
      <c r="DL732" s="1452"/>
      <c r="DM732" s="1452"/>
      <c r="DN732" s="1452"/>
      <c r="DO732" s="1452">
        <f t="shared" si="23"/>
        <v>0</v>
      </c>
      <c r="DP732" s="1452"/>
      <c r="DQ732" s="1452"/>
      <c r="DR732" s="1452"/>
      <c r="DS732" s="1452"/>
      <c r="DT732" s="6"/>
      <c r="DU732" s="1454">
        <f t="shared" si="24"/>
        <v>0</v>
      </c>
      <c r="DV732" s="1454"/>
      <c r="DW732" s="1454"/>
      <c r="DX732" s="1454"/>
      <c r="DY732" s="1454"/>
      <c r="DZ732" s="1454">
        <f t="shared" si="25"/>
        <v>0</v>
      </c>
      <c r="EA732" s="1454"/>
      <c r="EB732" s="1454"/>
      <c r="EC732" s="1454"/>
      <c r="ED732" s="1454"/>
      <c r="EE732" s="1454">
        <f t="shared" si="26"/>
        <v>0</v>
      </c>
      <c r="EF732" s="1454"/>
      <c r="EG732" s="1454"/>
      <c r="EH732" s="1454"/>
      <c r="EI732" s="1454"/>
      <c r="EJ732" s="1454">
        <f t="shared" si="27"/>
        <v>0</v>
      </c>
      <c r="EK732" s="1454"/>
      <c r="EL732" s="1454"/>
      <c r="EM732" s="1454"/>
      <c r="EN732" s="1454"/>
      <c r="EO732" s="1454">
        <f t="shared" si="28"/>
        <v>0</v>
      </c>
      <c r="EP732" s="1454"/>
      <c r="EQ732" s="1454"/>
      <c r="ER732" s="1454"/>
      <c r="ES732" s="1454"/>
      <c r="ET732" s="1454">
        <f t="shared" si="29"/>
        <v>0</v>
      </c>
      <c r="EU732" s="1454"/>
      <c r="EV732" s="1454"/>
      <c r="EW732" s="1454"/>
      <c r="EX732" s="1454"/>
      <c r="EZ732" s="1456" t="str">
        <f t="shared" si="30"/>
        <v/>
      </c>
      <c r="FA732" s="1463"/>
      <c r="FB732" s="1463"/>
      <c r="FC732" s="1463"/>
      <c r="FD732" s="1457"/>
      <c r="FE732" s="1456" t="str">
        <f t="shared" si="31"/>
        <v/>
      </c>
      <c r="FF732" s="1463"/>
      <c r="FG732" s="1463"/>
      <c r="FH732" s="1463"/>
      <c r="FI732" s="1457"/>
      <c r="FJ732" s="1456" t="str">
        <f t="shared" si="32"/>
        <v/>
      </c>
      <c r="FK732" s="1463"/>
      <c r="FL732" s="1463"/>
      <c r="FM732" s="1463"/>
      <c r="FN732" s="1457"/>
      <c r="FO732" s="1456" t="str">
        <f t="shared" si="33"/>
        <v/>
      </c>
      <c r="FP732" s="1463"/>
      <c r="FQ732" s="1463"/>
      <c r="FR732" s="1463"/>
      <c r="FS732" s="1457"/>
      <c r="FT732" s="1456" t="str">
        <f t="shared" si="34"/>
        <v/>
      </c>
      <c r="FU732" s="1463"/>
      <c r="FV732" s="1463"/>
      <c r="FW732" s="1463"/>
      <c r="FX732" s="1457"/>
      <c r="FY732" s="1456" t="str">
        <f t="shared" si="35"/>
        <v/>
      </c>
      <c r="FZ732" s="1463"/>
      <c r="GA732" s="1463"/>
      <c r="GB732" s="1463"/>
      <c r="GC732" s="1457"/>
    </row>
    <row r="733" spans="1:185" ht="12.95" customHeight="1">
      <c r="B733" s="1365"/>
      <c r="C733" s="1366"/>
      <c r="D733" s="1366"/>
      <c r="E733" s="1366"/>
      <c r="F733" s="1367"/>
      <c r="G733" s="1347"/>
      <c r="H733" s="1348"/>
      <c r="I733" s="1348"/>
      <c r="J733" s="1349"/>
      <c r="K733" s="1350"/>
      <c r="L733" s="1351"/>
      <c r="M733" s="1351"/>
      <c r="N733" s="1352"/>
      <c r="O733" s="1343"/>
      <c r="P733" s="1344"/>
      <c r="Q733" s="1344"/>
      <c r="R733" s="1344"/>
      <c r="S733" s="1345"/>
      <c r="T733" s="1343"/>
      <c r="U733" s="1344"/>
      <c r="V733" s="1344"/>
      <c r="W733" s="1345"/>
      <c r="X733" s="1340">
        <f t="shared" si="8"/>
        <v>0</v>
      </c>
      <c r="Y733" s="1341"/>
      <c r="Z733" s="1341"/>
      <c r="AA733" s="1341"/>
      <c r="AB733" s="1342"/>
      <c r="AC733" s="1353"/>
      <c r="AD733" s="1354"/>
      <c r="AE733" s="1354"/>
      <c r="AF733" s="1354"/>
      <c r="AG733" s="1355"/>
      <c r="AH733" s="1336" t="str">
        <f t="shared" si="36"/>
        <v/>
      </c>
      <c r="AI733" s="1337"/>
      <c r="AJ733" s="1338"/>
      <c r="AK733" s="1365" t="s">
        <v>591</v>
      </c>
      <c r="AL733" s="1366"/>
      <c r="AM733" s="1366"/>
      <c r="AN733" s="1366"/>
      <c r="AO733" s="1367"/>
      <c r="AP733" s="3"/>
      <c r="AQ733" s="3"/>
      <c r="AR733" s="3"/>
      <c r="AS733" s="3"/>
      <c r="AY733" s="1084"/>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56">
        <f t="shared" si="37"/>
        <v>0</v>
      </c>
      <c r="CH733" s="1457"/>
      <c r="CI733" s="1461">
        <f t="shared" si="38"/>
        <v>0</v>
      </c>
      <c r="CJ733" s="1462"/>
      <c r="CK733" s="1456">
        <f t="shared" si="16"/>
        <v>0</v>
      </c>
      <c r="CL733" s="1457"/>
      <c r="CM733" s="1461">
        <f t="shared" si="17"/>
        <v>0</v>
      </c>
      <c r="CN733" s="1462"/>
      <c r="CO733" s="3"/>
      <c r="CP733" s="1458">
        <f t="shared" si="18"/>
        <v>0</v>
      </c>
      <c r="CQ733" s="1459"/>
      <c r="CR733" s="1459"/>
      <c r="CS733" s="1459"/>
      <c r="CT733" s="1460"/>
      <c r="CU733" s="1452">
        <f t="shared" si="19"/>
        <v>0</v>
      </c>
      <c r="CV733" s="1452"/>
      <c r="CW733" s="1452"/>
      <c r="CX733" s="1452"/>
      <c r="CY733" s="1452"/>
      <c r="CZ733" s="1452">
        <f t="shared" si="20"/>
        <v>0</v>
      </c>
      <c r="DA733" s="1452"/>
      <c r="DB733" s="1452"/>
      <c r="DC733" s="1452"/>
      <c r="DD733" s="1452"/>
      <c r="DE733" s="1452">
        <f t="shared" si="21"/>
        <v>0</v>
      </c>
      <c r="DF733" s="1452"/>
      <c r="DG733" s="1452"/>
      <c r="DH733" s="1452"/>
      <c r="DI733" s="1452"/>
      <c r="DJ733" s="1452">
        <f t="shared" si="22"/>
        <v>0</v>
      </c>
      <c r="DK733" s="1452"/>
      <c r="DL733" s="1452"/>
      <c r="DM733" s="1452"/>
      <c r="DN733" s="1452"/>
      <c r="DO733" s="1452">
        <f t="shared" si="23"/>
        <v>0</v>
      </c>
      <c r="DP733" s="1452"/>
      <c r="DQ733" s="1452"/>
      <c r="DR733" s="1452"/>
      <c r="DS733" s="1452"/>
      <c r="DT733" s="6"/>
      <c r="DU733" s="1454">
        <f t="shared" si="24"/>
        <v>0</v>
      </c>
      <c r="DV733" s="1454"/>
      <c r="DW733" s="1454"/>
      <c r="DX733" s="1454"/>
      <c r="DY733" s="1454"/>
      <c r="DZ733" s="1454">
        <f t="shared" si="25"/>
        <v>0</v>
      </c>
      <c r="EA733" s="1454"/>
      <c r="EB733" s="1454"/>
      <c r="EC733" s="1454"/>
      <c r="ED733" s="1454"/>
      <c r="EE733" s="1454">
        <f t="shared" si="26"/>
        <v>0</v>
      </c>
      <c r="EF733" s="1454"/>
      <c r="EG733" s="1454"/>
      <c r="EH733" s="1454"/>
      <c r="EI733" s="1454"/>
      <c r="EJ733" s="1454">
        <f t="shared" si="27"/>
        <v>0</v>
      </c>
      <c r="EK733" s="1454"/>
      <c r="EL733" s="1454"/>
      <c r="EM733" s="1454"/>
      <c r="EN733" s="1454"/>
      <c r="EO733" s="1454">
        <f t="shared" si="28"/>
        <v>0</v>
      </c>
      <c r="EP733" s="1454"/>
      <c r="EQ733" s="1454"/>
      <c r="ER733" s="1454"/>
      <c r="ES733" s="1454"/>
      <c r="ET733" s="1454">
        <f t="shared" si="29"/>
        <v>0</v>
      </c>
      <c r="EU733" s="1454"/>
      <c r="EV733" s="1454"/>
      <c r="EW733" s="1454"/>
      <c r="EX733" s="1454"/>
      <c r="EZ733" s="1456" t="str">
        <f t="shared" si="30"/>
        <v/>
      </c>
      <c r="FA733" s="1463"/>
      <c r="FB733" s="1463"/>
      <c r="FC733" s="1463"/>
      <c r="FD733" s="1457"/>
      <c r="FE733" s="1456" t="str">
        <f t="shared" si="31"/>
        <v/>
      </c>
      <c r="FF733" s="1463"/>
      <c r="FG733" s="1463"/>
      <c r="FH733" s="1463"/>
      <c r="FI733" s="1457"/>
      <c r="FJ733" s="1456" t="str">
        <f t="shared" si="32"/>
        <v/>
      </c>
      <c r="FK733" s="1463"/>
      <c r="FL733" s="1463"/>
      <c r="FM733" s="1463"/>
      <c r="FN733" s="1457"/>
      <c r="FO733" s="1456" t="str">
        <f t="shared" si="33"/>
        <v/>
      </c>
      <c r="FP733" s="1463"/>
      <c r="FQ733" s="1463"/>
      <c r="FR733" s="1463"/>
      <c r="FS733" s="1457"/>
      <c r="FT733" s="1456" t="str">
        <f t="shared" si="34"/>
        <v/>
      </c>
      <c r="FU733" s="1463"/>
      <c r="FV733" s="1463"/>
      <c r="FW733" s="1463"/>
      <c r="FX733" s="1457"/>
      <c r="FY733" s="1456" t="str">
        <f t="shared" si="35"/>
        <v/>
      </c>
      <c r="FZ733" s="1463"/>
      <c r="GA733" s="1463"/>
      <c r="GB733" s="1463"/>
      <c r="GC733" s="1457"/>
    </row>
    <row r="734" spans="1:185" ht="12.95" customHeight="1">
      <c r="B734" s="1365"/>
      <c r="C734" s="1366"/>
      <c r="D734" s="1366"/>
      <c r="E734" s="1366"/>
      <c r="F734" s="1367"/>
      <c r="G734" s="1347"/>
      <c r="H734" s="1348"/>
      <c r="I734" s="1348"/>
      <c r="J734" s="1349"/>
      <c r="K734" s="1350"/>
      <c r="L734" s="1351"/>
      <c r="M734" s="1351"/>
      <c r="N734" s="1352"/>
      <c r="O734" s="1343"/>
      <c r="P734" s="1344"/>
      <c r="Q734" s="1344"/>
      <c r="R734" s="1344"/>
      <c r="S734" s="1345"/>
      <c r="T734" s="1343"/>
      <c r="U734" s="1344"/>
      <c r="V734" s="1344"/>
      <c r="W734" s="1345"/>
      <c r="X734" s="1340">
        <f t="shared" si="8"/>
        <v>0</v>
      </c>
      <c r="Y734" s="1341"/>
      <c r="Z734" s="1341"/>
      <c r="AA734" s="1341"/>
      <c r="AB734" s="1342"/>
      <c r="AC734" s="1353"/>
      <c r="AD734" s="1354"/>
      <c r="AE734" s="1354"/>
      <c r="AF734" s="1354"/>
      <c r="AG734" s="1355"/>
      <c r="AH734" s="1336" t="str">
        <f t="shared" si="36"/>
        <v/>
      </c>
      <c r="AI734" s="1337"/>
      <c r="AJ734" s="1338"/>
      <c r="AK734" s="1365" t="s">
        <v>591</v>
      </c>
      <c r="AL734" s="1366"/>
      <c r="AM734" s="1366"/>
      <c r="AN734" s="1366"/>
      <c r="AO734" s="1367"/>
      <c r="AP734" s="3"/>
      <c r="AQ734" s="3"/>
      <c r="AR734" s="3"/>
      <c r="AS734" s="3"/>
      <c r="AY734" s="1084"/>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56">
        <f t="shared" si="37"/>
        <v>0</v>
      </c>
      <c r="CH734" s="1457"/>
      <c r="CI734" s="1461">
        <f t="shared" si="38"/>
        <v>0</v>
      </c>
      <c r="CJ734" s="1462"/>
      <c r="CK734" s="1456">
        <f t="shared" si="16"/>
        <v>0</v>
      </c>
      <c r="CL734" s="1457"/>
      <c r="CM734" s="1461">
        <f t="shared" si="17"/>
        <v>0</v>
      </c>
      <c r="CN734" s="1462"/>
      <c r="CO734" s="3"/>
      <c r="CP734" s="1458">
        <f t="shared" si="18"/>
        <v>0</v>
      </c>
      <c r="CQ734" s="1459"/>
      <c r="CR734" s="1459"/>
      <c r="CS734" s="1459"/>
      <c r="CT734" s="1460"/>
      <c r="CU734" s="1452">
        <f t="shared" si="19"/>
        <v>0</v>
      </c>
      <c r="CV734" s="1452"/>
      <c r="CW734" s="1452"/>
      <c r="CX734" s="1452"/>
      <c r="CY734" s="1452"/>
      <c r="CZ734" s="1452">
        <f t="shared" si="20"/>
        <v>0</v>
      </c>
      <c r="DA734" s="1452"/>
      <c r="DB734" s="1452"/>
      <c r="DC734" s="1452"/>
      <c r="DD734" s="1452"/>
      <c r="DE734" s="1452">
        <f t="shared" si="21"/>
        <v>0</v>
      </c>
      <c r="DF734" s="1452"/>
      <c r="DG734" s="1452"/>
      <c r="DH734" s="1452"/>
      <c r="DI734" s="1452"/>
      <c r="DJ734" s="1452">
        <f t="shared" si="22"/>
        <v>0</v>
      </c>
      <c r="DK734" s="1452"/>
      <c r="DL734" s="1452"/>
      <c r="DM734" s="1452"/>
      <c r="DN734" s="1452"/>
      <c r="DO734" s="1452">
        <f t="shared" si="23"/>
        <v>0</v>
      </c>
      <c r="DP734" s="1452"/>
      <c r="DQ734" s="1452"/>
      <c r="DR734" s="1452"/>
      <c r="DS734" s="1452"/>
      <c r="DT734" s="6"/>
      <c r="DU734" s="1454">
        <f t="shared" si="24"/>
        <v>0</v>
      </c>
      <c r="DV734" s="1454"/>
      <c r="DW734" s="1454"/>
      <c r="DX734" s="1454"/>
      <c r="DY734" s="1454"/>
      <c r="DZ734" s="1454">
        <f t="shared" si="25"/>
        <v>0</v>
      </c>
      <c r="EA734" s="1454"/>
      <c r="EB734" s="1454"/>
      <c r="EC734" s="1454"/>
      <c r="ED734" s="1454"/>
      <c r="EE734" s="1454">
        <f t="shared" si="26"/>
        <v>0</v>
      </c>
      <c r="EF734" s="1454"/>
      <c r="EG734" s="1454"/>
      <c r="EH734" s="1454"/>
      <c r="EI734" s="1454"/>
      <c r="EJ734" s="1454">
        <f t="shared" si="27"/>
        <v>0</v>
      </c>
      <c r="EK734" s="1454"/>
      <c r="EL734" s="1454"/>
      <c r="EM734" s="1454"/>
      <c r="EN734" s="1454"/>
      <c r="EO734" s="1454">
        <f t="shared" si="28"/>
        <v>0</v>
      </c>
      <c r="EP734" s="1454"/>
      <c r="EQ734" s="1454"/>
      <c r="ER734" s="1454"/>
      <c r="ES734" s="1454"/>
      <c r="ET734" s="1454">
        <f t="shared" si="29"/>
        <v>0</v>
      </c>
      <c r="EU734" s="1454"/>
      <c r="EV734" s="1454"/>
      <c r="EW734" s="1454"/>
      <c r="EX734" s="1454"/>
      <c r="EZ734" s="1456" t="str">
        <f t="shared" si="30"/>
        <v/>
      </c>
      <c r="FA734" s="1463"/>
      <c r="FB734" s="1463"/>
      <c r="FC734" s="1463"/>
      <c r="FD734" s="1457"/>
      <c r="FE734" s="1456" t="str">
        <f t="shared" si="31"/>
        <v/>
      </c>
      <c r="FF734" s="1463"/>
      <c r="FG734" s="1463"/>
      <c r="FH734" s="1463"/>
      <c r="FI734" s="1457"/>
      <c r="FJ734" s="1456" t="str">
        <f t="shared" si="32"/>
        <v/>
      </c>
      <c r="FK734" s="1463"/>
      <c r="FL734" s="1463"/>
      <c r="FM734" s="1463"/>
      <c r="FN734" s="1457"/>
      <c r="FO734" s="1456" t="str">
        <f t="shared" si="33"/>
        <v/>
      </c>
      <c r="FP734" s="1463"/>
      <c r="FQ734" s="1463"/>
      <c r="FR734" s="1463"/>
      <c r="FS734" s="1457"/>
      <c r="FT734" s="1456" t="str">
        <f t="shared" si="34"/>
        <v/>
      </c>
      <c r="FU734" s="1463"/>
      <c r="FV734" s="1463"/>
      <c r="FW734" s="1463"/>
      <c r="FX734" s="1457"/>
      <c r="FY734" s="1456" t="str">
        <f t="shared" si="35"/>
        <v/>
      </c>
      <c r="FZ734" s="1463"/>
      <c r="GA734" s="1463"/>
      <c r="GB734" s="1463"/>
      <c r="GC734" s="1457"/>
    </row>
    <row r="735" spans="1:185" ht="12.95" customHeight="1">
      <c r="B735" s="1365"/>
      <c r="C735" s="1366"/>
      <c r="D735" s="1366"/>
      <c r="E735" s="1366"/>
      <c r="F735" s="1367"/>
      <c r="G735" s="1347"/>
      <c r="H735" s="1348"/>
      <c r="I735" s="1348"/>
      <c r="J735" s="1349"/>
      <c r="K735" s="1350"/>
      <c r="L735" s="1351"/>
      <c r="M735" s="1351"/>
      <c r="N735" s="1352"/>
      <c r="O735" s="1343"/>
      <c r="P735" s="1344"/>
      <c r="Q735" s="1344"/>
      <c r="R735" s="1344"/>
      <c r="S735" s="1345"/>
      <c r="T735" s="1343"/>
      <c r="U735" s="1344"/>
      <c r="V735" s="1344"/>
      <c r="W735" s="1345"/>
      <c r="X735" s="1340">
        <f t="shared" si="8"/>
        <v>0</v>
      </c>
      <c r="Y735" s="1341"/>
      <c r="Z735" s="1341"/>
      <c r="AA735" s="1341"/>
      <c r="AB735" s="1342"/>
      <c r="AC735" s="1353"/>
      <c r="AD735" s="1354"/>
      <c r="AE735" s="1354"/>
      <c r="AF735" s="1354"/>
      <c r="AG735" s="1355"/>
      <c r="AH735" s="1336" t="str">
        <f t="shared" si="36"/>
        <v/>
      </c>
      <c r="AI735" s="1337"/>
      <c r="AJ735" s="1338"/>
      <c r="AK735" s="1365" t="s">
        <v>591</v>
      </c>
      <c r="AL735" s="1366"/>
      <c r="AM735" s="1366"/>
      <c r="AN735" s="1366"/>
      <c r="AO735" s="1367"/>
      <c r="AP735" s="3"/>
      <c r="AQ735" s="3"/>
      <c r="AR735" s="3"/>
      <c r="AS735" s="3"/>
      <c r="AY735" s="1084"/>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56">
        <f t="shared" si="37"/>
        <v>0</v>
      </c>
      <c r="CH735" s="1457"/>
      <c r="CI735" s="1461">
        <f t="shared" si="38"/>
        <v>0</v>
      </c>
      <c r="CJ735" s="1462"/>
      <c r="CK735" s="1456">
        <f t="shared" si="16"/>
        <v>0</v>
      </c>
      <c r="CL735" s="1457"/>
      <c r="CM735" s="1461">
        <f t="shared" si="17"/>
        <v>0</v>
      </c>
      <c r="CN735" s="1462"/>
      <c r="CO735" s="3"/>
      <c r="CP735" s="1458">
        <f t="shared" si="18"/>
        <v>0</v>
      </c>
      <c r="CQ735" s="1459"/>
      <c r="CR735" s="1459"/>
      <c r="CS735" s="1459"/>
      <c r="CT735" s="1460"/>
      <c r="CU735" s="1452">
        <f t="shared" si="19"/>
        <v>0</v>
      </c>
      <c r="CV735" s="1452"/>
      <c r="CW735" s="1452"/>
      <c r="CX735" s="1452"/>
      <c r="CY735" s="1452"/>
      <c r="CZ735" s="1452">
        <f t="shared" si="20"/>
        <v>0</v>
      </c>
      <c r="DA735" s="1452"/>
      <c r="DB735" s="1452"/>
      <c r="DC735" s="1452"/>
      <c r="DD735" s="1452"/>
      <c r="DE735" s="1452">
        <f t="shared" si="21"/>
        <v>0</v>
      </c>
      <c r="DF735" s="1452"/>
      <c r="DG735" s="1452"/>
      <c r="DH735" s="1452"/>
      <c r="DI735" s="1452"/>
      <c r="DJ735" s="1452">
        <f t="shared" si="22"/>
        <v>0</v>
      </c>
      <c r="DK735" s="1452"/>
      <c r="DL735" s="1452"/>
      <c r="DM735" s="1452"/>
      <c r="DN735" s="1452"/>
      <c r="DO735" s="1452">
        <f t="shared" si="23"/>
        <v>0</v>
      </c>
      <c r="DP735" s="1452"/>
      <c r="DQ735" s="1452"/>
      <c r="DR735" s="1452"/>
      <c r="DS735" s="1452"/>
      <c r="DT735" s="6"/>
      <c r="DU735" s="1454">
        <f t="shared" si="24"/>
        <v>0</v>
      </c>
      <c r="DV735" s="1454"/>
      <c r="DW735" s="1454"/>
      <c r="DX735" s="1454"/>
      <c r="DY735" s="1454"/>
      <c r="DZ735" s="1454">
        <f t="shared" si="25"/>
        <v>0</v>
      </c>
      <c r="EA735" s="1454"/>
      <c r="EB735" s="1454"/>
      <c r="EC735" s="1454"/>
      <c r="ED735" s="1454"/>
      <c r="EE735" s="1454">
        <f t="shared" si="26"/>
        <v>0</v>
      </c>
      <c r="EF735" s="1454"/>
      <c r="EG735" s="1454"/>
      <c r="EH735" s="1454"/>
      <c r="EI735" s="1454"/>
      <c r="EJ735" s="1454">
        <f t="shared" si="27"/>
        <v>0</v>
      </c>
      <c r="EK735" s="1454"/>
      <c r="EL735" s="1454"/>
      <c r="EM735" s="1454"/>
      <c r="EN735" s="1454"/>
      <c r="EO735" s="1454">
        <f t="shared" si="28"/>
        <v>0</v>
      </c>
      <c r="EP735" s="1454"/>
      <c r="EQ735" s="1454"/>
      <c r="ER735" s="1454"/>
      <c r="ES735" s="1454"/>
      <c r="ET735" s="1454">
        <f t="shared" si="29"/>
        <v>0</v>
      </c>
      <c r="EU735" s="1454"/>
      <c r="EV735" s="1454"/>
      <c r="EW735" s="1454"/>
      <c r="EX735" s="1454"/>
      <c r="EZ735" s="1456" t="str">
        <f t="shared" si="30"/>
        <v/>
      </c>
      <c r="FA735" s="1463"/>
      <c r="FB735" s="1463"/>
      <c r="FC735" s="1463"/>
      <c r="FD735" s="1457"/>
      <c r="FE735" s="1456" t="str">
        <f t="shared" si="31"/>
        <v/>
      </c>
      <c r="FF735" s="1463"/>
      <c r="FG735" s="1463"/>
      <c r="FH735" s="1463"/>
      <c r="FI735" s="1457"/>
      <c r="FJ735" s="1456" t="str">
        <f t="shared" si="32"/>
        <v/>
      </c>
      <c r="FK735" s="1463"/>
      <c r="FL735" s="1463"/>
      <c r="FM735" s="1463"/>
      <c r="FN735" s="1457"/>
      <c r="FO735" s="1456" t="str">
        <f t="shared" si="33"/>
        <v/>
      </c>
      <c r="FP735" s="1463"/>
      <c r="FQ735" s="1463"/>
      <c r="FR735" s="1463"/>
      <c r="FS735" s="1457"/>
      <c r="FT735" s="1456" t="str">
        <f t="shared" si="34"/>
        <v/>
      </c>
      <c r="FU735" s="1463"/>
      <c r="FV735" s="1463"/>
      <c r="FW735" s="1463"/>
      <c r="FX735" s="1457"/>
      <c r="FY735" s="1456" t="str">
        <f t="shared" si="35"/>
        <v/>
      </c>
      <c r="FZ735" s="1463"/>
      <c r="GA735" s="1463"/>
      <c r="GB735" s="1463"/>
      <c r="GC735" s="1457"/>
    </row>
    <row r="736" spans="1:185" ht="12.95" customHeight="1">
      <c r="B736" s="1365"/>
      <c r="C736" s="1366"/>
      <c r="D736" s="1366"/>
      <c r="E736" s="1366"/>
      <c r="F736" s="1367"/>
      <c r="G736" s="1347"/>
      <c r="H736" s="1348"/>
      <c r="I736" s="1348"/>
      <c r="J736" s="1349"/>
      <c r="K736" s="1350"/>
      <c r="L736" s="1351"/>
      <c r="M736" s="1351"/>
      <c r="N736" s="1352"/>
      <c r="O736" s="1343"/>
      <c r="P736" s="1344"/>
      <c r="Q736" s="1344"/>
      <c r="R736" s="1344"/>
      <c r="S736" s="1345"/>
      <c r="T736" s="1343"/>
      <c r="U736" s="1344"/>
      <c r="V736" s="1344"/>
      <c r="W736" s="1345"/>
      <c r="X736" s="1340">
        <f t="shared" si="8"/>
        <v>0</v>
      </c>
      <c r="Y736" s="1341"/>
      <c r="Z736" s="1341"/>
      <c r="AA736" s="1341"/>
      <c r="AB736" s="1342"/>
      <c r="AC736" s="1353"/>
      <c r="AD736" s="1354"/>
      <c r="AE736" s="1354"/>
      <c r="AF736" s="1354"/>
      <c r="AG736" s="1355"/>
      <c r="AH736" s="1336" t="str">
        <f t="shared" si="36"/>
        <v/>
      </c>
      <c r="AI736" s="1337"/>
      <c r="AJ736" s="1338"/>
      <c r="AK736" s="1365" t="s">
        <v>591</v>
      </c>
      <c r="AL736" s="1366"/>
      <c r="AM736" s="1366"/>
      <c r="AN736" s="1366"/>
      <c r="AO736" s="1367"/>
      <c r="AP736" s="3"/>
      <c r="AQ736" s="3"/>
      <c r="AR736" s="3"/>
      <c r="AS736" s="3"/>
      <c r="AY736" s="1084"/>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56">
        <f t="shared" si="37"/>
        <v>0</v>
      </c>
      <c r="CH736" s="1457"/>
      <c r="CI736" s="1461">
        <f t="shared" si="38"/>
        <v>0</v>
      </c>
      <c r="CJ736" s="1462"/>
      <c r="CK736" s="1456">
        <f t="shared" si="16"/>
        <v>0</v>
      </c>
      <c r="CL736" s="1457"/>
      <c r="CM736" s="1461">
        <f t="shared" si="17"/>
        <v>0</v>
      </c>
      <c r="CN736" s="1462"/>
      <c r="CO736" s="3"/>
      <c r="CP736" s="1458">
        <f t="shared" si="18"/>
        <v>0</v>
      </c>
      <c r="CQ736" s="1459"/>
      <c r="CR736" s="1459"/>
      <c r="CS736" s="1459"/>
      <c r="CT736" s="1460"/>
      <c r="CU736" s="1452">
        <f t="shared" si="19"/>
        <v>0</v>
      </c>
      <c r="CV736" s="1452"/>
      <c r="CW736" s="1452"/>
      <c r="CX736" s="1452"/>
      <c r="CY736" s="1452"/>
      <c r="CZ736" s="1452">
        <f t="shared" si="20"/>
        <v>0</v>
      </c>
      <c r="DA736" s="1452"/>
      <c r="DB736" s="1452"/>
      <c r="DC736" s="1452"/>
      <c r="DD736" s="1452"/>
      <c r="DE736" s="1452">
        <f t="shared" si="21"/>
        <v>0</v>
      </c>
      <c r="DF736" s="1452"/>
      <c r="DG736" s="1452"/>
      <c r="DH736" s="1452"/>
      <c r="DI736" s="1452"/>
      <c r="DJ736" s="1452">
        <f t="shared" si="22"/>
        <v>0</v>
      </c>
      <c r="DK736" s="1452"/>
      <c r="DL736" s="1452"/>
      <c r="DM736" s="1452"/>
      <c r="DN736" s="1452"/>
      <c r="DO736" s="1452">
        <f t="shared" si="23"/>
        <v>0</v>
      </c>
      <c r="DP736" s="1452"/>
      <c r="DQ736" s="1452"/>
      <c r="DR736" s="1452"/>
      <c r="DS736" s="1452"/>
      <c r="DT736" s="6"/>
      <c r="DU736" s="1454">
        <f t="shared" si="24"/>
        <v>0</v>
      </c>
      <c r="DV736" s="1454"/>
      <c r="DW736" s="1454"/>
      <c r="DX736" s="1454"/>
      <c r="DY736" s="1454"/>
      <c r="DZ736" s="1454">
        <f t="shared" si="25"/>
        <v>0</v>
      </c>
      <c r="EA736" s="1454"/>
      <c r="EB736" s="1454"/>
      <c r="EC736" s="1454"/>
      <c r="ED736" s="1454"/>
      <c r="EE736" s="1454">
        <f t="shared" si="26"/>
        <v>0</v>
      </c>
      <c r="EF736" s="1454"/>
      <c r="EG736" s="1454"/>
      <c r="EH736" s="1454"/>
      <c r="EI736" s="1454"/>
      <c r="EJ736" s="1454">
        <f t="shared" si="27"/>
        <v>0</v>
      </c>
      <c r="EK736" s="1454"/>
      <c r="EL736" s="1454"/>
      <c r="EM736" s="1454"/>
      <c r="EN736" s="1454"/>
      <c r="EO736" s="1454">
        <f t="shared" si="28"/>
        <v>0</v>
      </c>
      <c r="EP736" s="1454"/>
      <c r="EQ736" s="1454"/>
      <c r="ER736" s="1454"/>
      <c r="ES736" s="1454"/>
      <c r="ET736" s="1454">
        <f t="shared" si="29"/>
        <v>0</v>
      </c>
      <c r="EU736" s="1454"/>
      <c r="EV736" s="1454"/>
      <c r="EW736" s="1454"/>
      <c r="EX736" s="1454"/>
      <c r="EZ736" s="1456" t="str">
        <f t="shared" si="30"/>
        <v/>
      </c>
      <c r="FA736" s="1463"/>
      <c r="FB736" s="1463"/>
      <c r="FC736" s="1463"/>
      <c r="FD736" s="1457"/>
      <c r="FE736" s="1456" t="str">
        <f t="shared" si="31"/>
        <v/>
      </c>
      <c r="FF736" s="1463"/>
      <c r="FG736" s="1463"/>
      <c r="FH736" s="1463"/>
      <c r="FI736" s="1457"/>
      <c r="FJ736" s="1456" t="str">
        <f t="shared" si="32"/>
        <v/>
      </c>
      <c r="FK736" s="1463"/>
      <c r="FL736" s="1463"/>
      <c r="FM736" s="1463"/>
      <c r="FN736" s="1457"/>
      <c r="FO736" s="1456" t="str">
        <f t="shared" si="33"/>
        <v/>
      </c>
      <c r="FP736" s="1463"/>
      <c r="FQ736" s="1463"/>
      <c r="FR736" s="1463"/>
      <c r="FS736" s="1457"/>
      <c r="FT736" s="1456" t="str">
        <f t="shared" si="34"/>
        <v/>
      </c>
      <c r="FU736" s="1463"/>
      <c r="FV736" s="1463"/>
      <c r="FW736" s="1463"/>
      <c r="FX736" s="1457"/>
      <c r="FY736" s="1456" t="str">
        <f t="shared" si="35"/>
        <v/>
      </c>
      <c r="FZ736" s="1463"/>
      <c r="GA736" s="1463"/>
      <c r="GB736" s="1463"/>
      <c r="GC736" s="1457"/>
    </row>
    <row r="737" spans="1:185" ht="12.95" customHeight="1">
      <c r="B737" s="1365"/>
      <c r="C737" s="1366"/>
      <c r="D737" s="1366"/>
      <c r="E737" s="1366"/>
      <c r="F737" s="1367"/>
      <c r="G737" s="1347"/>
      <c r="H737" s="1348"/>
      <c r="I737" s="1348"/>
      <c r="J737" s="1349"/>
      <c r="K737" s="1350"/>
      <c r="L737" s="1351"/>
      <c r="M737" s="1351"/>
      <c r="N737" s="1352"/>
      <c r="O737" s="1343"/>
      <c r="P737" s="1344"/>
      <c r="Q737" s="1344"/>
      <c r="R737" s="1344"/>
      <c r="S737" s="1345"/>
      <c r="T737" s="1343"/>
      <c r="U737" s="1344"/>
      <c r="V737" s="1344"/>
      <c r="W737" s="1345"/>
      <c r="X737" s="1340">
        <f t="shared" si="8"/>
        <v>0</v>
      </c>
      <c r="Y737" s="1341"/>
      <c r="Z737" s="1341"/>
      <c r="AA737" s="1341"/>
      <c r="AB737" s="1342"/>
      <c r="AC737" s="1353"/>
      <c r="AD737" s="1354"/>
      <c r="AE737" s="1354"/>
      <c r="AF737" s="1354"/>
      <c r="AG737" s="1355"/>
      <c r="AH737" s="1336" t="str">
        <f t="shared" si="36"/>
        <v/>
      </c>
      <c r="AI737" s="1337"/>
      <c r="AJ737" s="1338"/>
      <c r="AK737" s="1365" t="s">
        <v>591</v>
      </c>
      <c r="AL737" s="1366"/>
      <c r="AM737" s="1366"/>
      <c r="AN737" s="1366"/>
      <c r="AO737" s="1367"/>
      <c r="AP737" s="3"/>
      <c r="AQ737" s="3"/>
      <c r="AR737" s="3"/>
      <c r="AS737" s="3"/>
      <c r="AY737" s="1084"/>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56">
        <f t="shared" si="37"/>
        <v>0</v>
      </c>
      <c r="CH737" s="1457"/>
      <c r="CI737" s="1461">
        <f t="shared" si="38"/>
        <v>0</v>
      </c>
      <c r="CJ737" s="1462"/>
      <c r="CK737" s="1456">
        <f t="shared" si="16"/>
        <v>0</v>
      </c>
      <c r="CL737" s="1457"/>
      <c r="CM737" s="1461">
        <f t="shared" si="17"/>
        <v>0</v>
      </c>
      <c r="CN737" s="1462"/>
      <c r="CO737" s="3"/>
      <c r="CP737" s="1458">
        <f t="shared" si="18"/>
        <v>0</v>
      </c>
      <c r="CQ737" s="1459"/>
      <c r="CR737" s="1459"/>
      <c r="CS737" s="1459"/>
      <c r="CT737" s="1460"/>
      <c r="CU737" s="1452">
        <f t="shared" si="19"/>
        <v>0</v>
      </c>
      <c r="CV737" s="1452"/>
      <c r="CW737" s="1452"/>
      <c r="CX737" s="1452"/>
      <c r="CY737" s="1452"/>
      <c r="CZ737" s="1452">
        <f t="shared" si="20"/>
        <v>0</v>
      </c>
      <c r="DA737" s="1452"/>
      <c r="DB737" s="1452"/>
      <c r="DC737" s="1452"/>
      <c r="DD737" s="1452"/>
      <c r="DE737" s="1452">
        <f t="shared" si="21"/>
        <v>0</v>
      </c>
      <c r="DF737" s="1452"/>
      <c r="DG737" s="1452"/>
      <c r="DH737" s="1452"/>
      <c r="DI737" s="1452"/>
      <c r="DJ737" s="1452">
        <f t="shared" si="22"/>
        <v>0</v>
      </c>
      <c r="DK737" s="1452"/>
      <c r="DL737" s="1452"/>
      <c r="DM737" s="1452"/>
      <c r="DN737" s="1452"/>
      <c r="DO737" s="1452">
        <f t="shared" si="23"/>
        <v>0</v>
      </c>
      <c r="DP737" s="1452"/>
      <c r="DQ737" s="1452"/>
      <c r="DR737" s="1452"/>
      <c r="DS737" s="1452"/>
      <c r="DT737" s="6"/>
      <c r="DU737" s="1454">
        <f t="shared" si="24"/>
        <v>0</v>
      </c>
      <c r="DV737" s="1454"/>
      <c r="DW737" s="1454"/>
      <c r="DX737" s="1454"/>
      <c r="DY737" s="1454"/>
      <c r="DZ737" s="1454">
        <f t="shared" si="25"/>
        <v>0</v>
      </c>
      <c r="EA737" s="1454"/>
      <c r="EB737" s="1454"/>
      <c r="EC737" s="1454"/>
      <c r="ED737" s="1454"/>
      <c r="EE737" s="1454">
        <f t="shared" si="26"/>
        <v>0</v>
      </c>
      <c r="EF737" s="1454"/>
      <c r="EG737" s="1454"/>
      <c r="EH737" s="1454"/>
      <c r="EI737" s="1454"/>
      <c r="EJ737" s="1454">
        <f t="shared" si="27"/>
        <v>0</v>
      </c>
      <c r="EK737" s="1454"/>
      <c r="EL737" s="1454"/>
      <c r="EM737" s="1454"/>
      <c r="EN737" s="1454"/>
      <c r="EO737" s="1454">
        <f t="shared" si="28"/>
        <v>0</v>
      </c>
      <c r="EP737" s="1454"/>
      <c r="EQ737" s="1454"/>
      <c r="ER737" s="1454"/>
      <c r="ES737" s="1454"/>
      <c r="ET737" s="1454">
        <f t="shared" si="29"/>
        <v>0</v>
      </c>
      <c r="EU737" s="1454"/>
      <c r="EV737" s="1454"/>
      <c r="EW737" s="1454"/>
      <c r="EX737" s="1454"/>
      <c r="EZ737" s="1456" t="str">
        <f t="shared" si="30"/>
        <v/>
      </c>
      <c r="FA737" s="1463"/>
      <c r="FB737" s="1463"/>
      <c r="FC737" s="1463"/>
      <c r="FD737" s="1457"/>
      <c r="FE737" s="1456" t="str">
        <f t="shared" si="31"/>
        <v/>
      </c>
      <c r="FF737" s="1463"/>
      <c r="FG737" s="1463"/>
      <c r="FH737" s="1463"/>
      <c r="FI737" s="1457"/>
      <c r="FJ737" s="1456" t="str">
        <f t="shared" si="32"/>
        <v/>
      </c>
      <c r="FK737" s="1463"/>
      <c r="FL737" s="1463"/>
      <c r="FM737" s="1463"/>
      <c r="FN737" s="1457"/>
      <c r="FO737" s="1456" t="str">
        <f t="shared" si="33"/>
        <v/>
      </c>
      <c r="FP737" s="1463"/>
      <c r="FQ737" s="1463"/>
      <c r="FR737" s="1463"/>
      <c r="FS737" s="1457"/>
      <c r="FT737" s="1456" t="str">
        <f t="shared" si="34"/>
        <v/>
      </c>
      <c r="FU737" s="1463"/>
      <c r="FV737" s="1463"/>
      <c r="FW737" s="1463"/>
      <c r="FX737" s="1457"/>
      <c r="FY737" s="1456" t="str">
        <f t="shared" si="35"/>
        <v/>
      </c>
      <c r="FZ737" s="1463"/>
      <c r="GA737" s="1463"/>
      <c r="GB737" s="1463"/>
      <c r="GC737" s="1457"/>
    </row>
    <row r="738" spans="1:185" ht="12.95" customHeight="1">
      <c r="B738" s="1365"/>
      <c r="C738" s="1366"/>
      <c r="D738" s="1366"/>
      <c r="E738" s="1366"/>
      <c r="F738" s="1367"/>
      <c r="G738" s="1347"/>
      <c r="H738" s="1348"/>
      <c r="I738" s="1348"/>
      <c r="J738" s="1349"/>
      <c r="K738" s="1350"/>
      <c r="L738" s="1351"/>
      <c r="M738" s="1351"/>
      <c r="N738" s="1352"/>
      <c r="O738" s="1343"/>
      <c r="P738" s="1344"/>
      <c r="Q738" s="1344"/>
      <c r="R738" s="1344"/>
      <c r="S738" s="1345"/>
      <c r="T738" s="1343"/>
      <c r="U738" s="1344"/>
      <c r="V738" s="1344"/>
      <c r="W738" s="1345"/>
      <c r="X738" s="1340">
        <f t="shared" si="8"/>
        <v>0</v>
      </c>
      <c r="Y738" s="1341"/>
      <c r="Z738" s="1341"/>
      <c r="AA738" s="1341"/>
      <c r="AB738" s="1342"/>
      <c r="AC738" s="1353"/>
      <c r="AD738" s="1354"/>
      <c r="AE738" s="1354"/>
      <c r="AF738" s="1354"/>
      <c r="AG738" s="1355"/>
      <c r="AH738" s="1336" t="str">
        <f t="shared" si="36"/>
        <v/>
      </c>
      <c r="AI738" s="1337"/>
      <c r="AJ738" s="1338"/>
      <c r="AK738" s="1365" t="s">
        <v>591</v>
      </c>
      <c r="AL738" s="1366"/>
      <c r="AM738" s="1366"/>
      <c r="AN738" s="1366"/>
      <c r="AO738" s="1367"/>
      <c r="AP738" s="3"/>
      <c r="AQ738" s="3"/>
      <c r="AR738" s="3"/>
      <c r="AS738" s="3"/>
      <c r="AY738" s="1084"/>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56">
        <f t="shared" si="37"/>
        <v>0</v>
      </c>
      <c r="CH738" s="1457"/>
      <c r="CI738" s="1461">
        <f t="shared" si="38"/>
        <v>0</v>
      </c>
      <c r="CJ738" s="1462"/>
      <c r="CK738" s="1456">
        <f t="shared" si="16"/>
        <v>0</v>
      </c>
      <c r="CL738" s="1457"/>
      <c r="CM738" s="1461">
        <f t="shared" si="17"/>
        <v>0</v>
      </c>
      <c r="CN738" s="1462"/>
      <c r="CO738" s="3"/>
      <c r="CP738" s="1458">
        <f t="shared" si="18"/>
        <v>0</v>
      </c>
      <c r="CQ738" s="1459"/>
      <c r="CR738" s="1459"/>
      <c r="CS738" s="1459"/>
      <c r="CT738" s="1460"/>
      <c r="CU738" s="1452">
        <f t="shared" si="19"/>
        <v>0</v>
      </c>
      <c r="CV738" s="1452"/>
      <c r="CW738" s="1452"/>
      <c r="CX738" s="1452"/>
      <c r="CY738" s="1452"/>
      <c r="CZ738" s="1452">
        <f t="shared" si="20"/>
        <v>0</v>
      </c>
      <c r="DA738" s="1452"/>
      <c r="DB738" s="1452"/>
      <c r="DC738" s="1452"/>
      <c r="DD738" s="1452"/>
      <c r="DE738" s="1452">
        <f t="shared" si="21"/>
        <v>0</v>
      </c>
      <c r="DF738" s="1452"/>
      <c r="DG738" s="1452"/>
      <c r="DH738" s="1452"/>
      <c r="DI738" s="1452"/>
      <c r="DJ738" s="1452">
        <f t="shared" si="22"/>
        <v>0</v>
      </c>
      <c r="DK738" s="1452"/>
      <c r="DL738" s="1452"/>
      <c r="DM738" s="1452"/>
      <c r="DN738" s="1452"/>
      <c r="DO738" s="1452">
        <f t="shared" si="23"/>
        <v>0</v>
      </c>
      <c r="DP738" s="1452"/>
      <c r="DQ738" s="1452"/>
      <c r="DR738" s="1452"/>
      <c r="DS738" s="1452"/>
      <c r="DT738" s="6"/>
      <c r="DU738" s="1454">
        <f t="shared" si="24"/>
        <v>0</v>
      </c>
      <c r="DV738" s="1454"/>
      <c r="DW738" s="1454"/>
      <c r="DX738" s="1454"/>
      <c r="DY738" s="1454"/>
      <c r="DZ738" s="1454">
        <f t="shared" si="25"/>
        <v>0</v>
      </c>
      <c r="EA738" s="1454"/>
      <c r="EB738" s="1454"/>
      <c r="EC738" s="1454"/>
      <c r="ED738" s="1454"/>
      <c r="EE738" s="1454">
        <f t="shared" si="26"/>
        <v>0</v>
      </c>
      <c r="EF738" s="1454"/>
      <c r="EG738" s="1454"/>
      <c r="EH738" s="1454"/>
      <c r="EI738" s="1454"/>
      <c r="EJ738" s="1454">
        <f t="shared" si="27"/>
        <v>0</v>
      </c>
      <c r="EK738" s="1454"/>
      <c r="EL738" s="1454"/>
      <c r="EM738" s="1454"/>
      <c r="EN738" s="1454"/>
      <c r="EO738" s="1454">
        <f t="shared" si="28"/>
        <v>0</v>
      </c>
      <c r="EP738" s="1454"/>
      <c r="EQ738" s="1454"/>
      <c r="ER738" s="1454"/>
      <c r="ES738" s="1454"/>
      <c r="ET738" s="1454">
        <f t="shared" si="29"/>
        <v>0</v>
      </c>
      <c r="EU738" s="1454"/>
      <c r="EV738" s="1454"/>
      <c r="EW738" s="1454"/>
      <c r="EX738" s="1454"/>
      <c r="EZ738" s="1456" t="str">
        <f t="shared" si="30"/>
        <v/>
      </c>
      <c r="FA738" s="1463"/>
      <c r="FB738" s="1463"/>
      <c r="FC738" s="1463"/>
      <c r="FD738" s="1457"/>
      <c r="FE738" s="1456" t="str">
        <f t="shared" si="31"/>
        <v/>
      </c>
      <c r="FF738" s="1463"/>
      <c r="FG738" s="1463"/>
      <c r="FH738" s="1463"/>
      <c r="FI738" s="1457"/>
      <c r="FJ738" s="1456" t="str">
        <f t="shared" si="32"/>
        <v/>
      </c>
      <c r="FK738" s="1463"/>
      <c r="FL738" s="1463"/>
      <c r="FM738" s="1463"/>
      <c r="FN738" s="1457"/>
      <c r="FO738" s="1456" t="str">
        <f t="shared" si="33"/>
        <v/>
      </c>
      <c r="FP738" s="1463"/>
      <c r="FQ738" s="1463"/>
      <c r="FR738" s="1463"/>
      <c r="FS738" s="1457"/>
      <c r="FT738" s="1456" t="str">
        <f t="shared" si="34"/>
        <v/>
      </c>
      <c r="FU738" s="1463"/>
      <c r="FV738" s="1463"/>
      <c r="FW738" s="1463"/>
      <c r="FX738" s="1457"/>
      <c r="FY738" s="1456" t="str">
        <f t="shared" si="35"/>
        <v/>
      </c>
      <c r="FZ738" s="1463"/>
      <c r="GA738" s="1463"/>
      <c r="GB738" s="1463"/>
      <c r="GC738" s="1457"/>
    </row>
    <row r="739" spans="1:185" ht="12.95" customHeight="1">
      <c r="B739" s="1365"/>
      <c r="C739" s="1366"/>
      <c r="D739" s="1366"/>
      <c r="E739" s="1366"/>
      <c r="F739" s="1367"/>
      <c r="G739" s="1347"/>
      <c r="H739" s="1348"/>
      <c r="I739" s="1348"/>
      <c r="J739" s="1349"/>
      <c r="K739" s="1350"/>
      <c r="L739" s="1351"/>
      <c r="M739" s="1351"/>
      <c r="N739" s="1352"/>
      <c r="O739" s="1343"/>
      <c r="P739" s="1344"/>
      <c r="Q739" s="1344"/>
      <c r="R739" s="1344"/>
      <c r="S739" s="1345"/>
      <c r="T739" s="1343"/>
      <c r="U739" s="1344"/>
      <c r="V739" s="1344"/>
      <c r="W739" s="1345"/>
      <c r="X739" s="1340">
        <f t="shared" si="8"/>
        <v>0</v>
      </c>
      <c r="Y739" s="1341"/>
      <c r="Z739" s="1341"/>
      <c r="AA739" s="1341"/>
      <c r="AB739" s="1342"/>
      <c r="AC739" s="1353"/>
      <c r="AD739" s="1354"/>
      <c r="AE739" s="1354"/>
      <c r="AF739" s="1354"/>
      <c r="AG739" s="1355"/>
      <c r="AH739" s="1336" t="str">
        <f t="shared" si="36"/>
        <v/>
      </c>
      <c r="AI739" s="1337"/>
      <c r="AJ739" s="1338"/>
      <c r="AK739" s="1365" t="s">
        <v>591</v>
      </c>
      <c r="AL739" s="1366"/>
      <c r="AM739" s="1366"/>
      <c r="AN739" s="1366"/>
      <c r="AO739" s="1367"/>
      <c r="AP739" s="3"/>
      <c r="AQ739" s="3"/>
      <c r="AR739" s="3"/>
      <c r="AS739" s="3"/>
      <c r="AY739" s="1084"/>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56">
        <f t="shared" si="37"/>
        <v>0</v>
      </c>
      <c r="CH739" s="1457"/>
      <c r="CI739" s="1461">
        <f t="shared" si="38"/>
        <v>0</v>
      </c>
      <c r="CJ739" s="1462"/>
      <c r="CK739" s="1456">
        <f t="shared" si="16"/>
        <v>0</v>
      </c>
      <c r="CL739" s="1457"/>
      <c r="CM739" s="1461">
        <f t="shared" si="17"/>
        <v>0</v>
      </c>
      <c r="CN739" s="1462"/>
      <c r="CO739" s="3"/>
      <c r="CP739" s="1458">
        <f t="shared" si="18"/>
        <v>0</v>
      </c>
      <c r="CQ739" s="1459"/>
      <c r="CR739" s="1459"/>
      <c r="CS739" s="1459"/>
      <c r="CT739" s="1460"/>
      <c r="CU739" s="1452">
        <f t="shared" si="19"/>
        <v>0</v>
      </c>
      <c r="CV739" s="1452"/>
      <c r="CW739" s="1452"/>
      <c r="CX739" s="1452"/>
      <c r="CY739" s="1452"/>
      <c r="CZ739" s="1452">
        <f t="shared" si="20"/>
        <v>0</v>
      </c>
      <c r="DA739" s="1452"/>
      <c r="DB739" s="1452"/>
      <c r="DC739" s="1452"/>
      <c r="DD739" s="1452"/>
      <c r="DE739" s="1452">
        <f t="shared" si="21"/>
        <v>0</v>
      </c>
      <c r="DF739" s="1452"/>
      <c r="DG739" s="1452"/>
      <c r="DH739" s="1452"/>
      <c r="DI739" s="1452"/>
      <c r="DJ739" s="1452">
        <f t="shared" si="22"/>
        <v>0</v>
      </c>
      <c r="DK739" s="1452"/>
      <c r="DL739" s="1452"/>
      <c r="DM739" s="1452"/>
      <c r="DN739" s="1452"/>
      <c r="DO739" s="1452">
        <f t="shared" si="23"/>
        <v>0</v>
      </c>
      <c r="DP739" s="1452"/>
      <c r="DQ739" s="1452"/>
      <c r="DR739" s="1452"/>
      <c r="DS739" s="1452"/>
      <c r="DT739" s="6"/>
      <c r="DU739" s="1454">
        <f t="shared" si="24"/>
        <v>0</v>
      </c>
      <c r="DV739" s="1454"/>
      <c r="DW739" s="1454"/>
      <c r="DX739" s="1454"/>
      <c r="DY739" s="1454"/>
      <c r="DZ739" s="1454">
        <f t="shared" si="25"/>
        <v>0</v>
      </c>
      <c r="EA739" s="1454"/>
      <c r="EB739" s="1454"/>
      <c r="EC739" s="1454"/>
      <c r="ED739" s="1454"/>
      <c r="EE739" s="1454">
        <f t="shared" si="26"/>
        <v>0</v>
      </c>
      <c r="EF739" s="1454"/>
      <c r="EG739" s="1454"/>
      <c r="EH739" s="1454"/>
      <c r="EI739" s="1454"/>
      <c r="EJ739" s="1454">
        <f t="shared" si="27"/>
        <v>0</v>
      </c>
      <c r="EK739" s="1454"/>
      <c r="EL739" s="1454"/>
      <c r="EM739" s="1454"/>
      <c r="EN739" s="1454"/>
      <c r="EO739" s="1454">
        <f t="shared" si="28"/>
        <v>0</v>
      </c>
      <c r="EP739" s="1454"/>
      <c r="EQ739" s="1454"/>
      <c r="ER739" s="1454"/>
      <c r="ES739" s="1454"/>
      <c r="ET739" s="1454">
        <f t="shared" si="29"/>
        <v>0</v>
      </c>
      <c r="EU739" s="1454"/>
      <c r="EV739" s="1454"/>
      <c r="EW739" s="1454"/>
      <c r="EX739" s="1454"/>
      <c r="EZ739" s="1456" t="str">
        <f t="shared" si="30"/>
        <v/>
      </c>
      <c r="FA739" s="1463"/>
      <c r="FB739" s="1463"/>
      <c r="FC739" s="1463"/>
      <c r="FD739" s="1457"/>
      <c r="FE739" s="1456" t="str">
        <f t="shared" si="31"/>
        <v/>
      </c>
      <c r="FF739" s="1463"/>
      <c r="FG739" s="1463"/>
      <c r="FH739" s="1463"/>
      <c r="FI739" s="1457"/>
      <c r="FJ739" s="1456" t="str">
        <f t="shared" si="32"/>
        <v/>
      </c>
      <c r="FK739" s="1463"/>
      <c r="FL739" s="1463"/>
      <c r="FM739" s="1463"/>
      <c r="FN739" s="1457"/>
      <c r="FO739" s="1456" t="str">
        <f t="shared" si="33"/>
        <v/>
      </c>
      <c r="FP739" s="1463"/>
      <c r="FQ739" s="1463"/>
      <c r="FR739" s="1463"/>
      <c r="FS739" s="1457"/>
      <c r="FT739" s="1456" t="str">
        <f t="shared" si="34"/>
        <v/>
      </c>
      <c r="FU739" s="1463"/>
      <c r="FV739" s="1463"/>
      <c r="FW739" s="1463"/>
      <c r="FX739" s="1457"/>
      <c r="FY739" s="1456" t="str">
        <f t="shared" si="35"/>
        <v/>
      </c>
      <c r="FZ739" s="1463"/>
      <c r="GA739" s="1463"/>
      <c r="GB739" s="1463"/>
      <c r="GC739" s="1457"/>
    </row>
    <row r="740" spans="1:185" ht="12.95" customHeight="1">
      <c r="B740" s="1365"/>
      <c r="C740" s="1366"/>
      <c r="D740" s="1366"/>
      <c r="E740" s="1366"/>
      <c r="F740" s="1367"/>
      <c r="G740" s="1347"/>
      <c r="H740" s="1348"/>
      <c r="I740" s="1348"/>
      <c r="J740" s="1349"/>
      <c r="K740" s="1350"/>
      <c r="L740" s="1351"/>
      <c r="M740" s="1351"/>
      <c r="N740" s="1352"/>
      <c r="O740" s="1343"/>
      <c r="P740" s="1344"/>
      <c r="Q740" s="1344"/>
      <c r="R740" s="1344"/>
      <c r="S740" s="1345"/>
      <c r="T740" s="1343"/>
      <c r="U740" s="1344"/>
      <c r="V740" s="1344"/>
      <c r="W740" s="1345"/>
      <c r="X740" s="1340">
        <f t="shared" si="8"/>
        <v>0</v>
      </c>
      <c r="Y740" s="1341"/>
      <c r="Z740" s="1341"/>
      <c r="AA740" s="1341"/>
      <c r="AB740" s="1342"/>
      <c r="AC740" s="1353"/>
      <c r="AD740" s="1354"/>
      <c r="AE740" s="1354"/>
      <c r="AF740" s="1354"/>
      <c r="AG740" s="1355"/>
      <c r="AH740" s="1336" t="str">
        <f t="shared" si="36"/>
        <v/>
      </c>
      <c r="AI740" s="1337"/>
      <c r="AJ740" s="1338"/>
      <c r="AK740" s="1365" t="s">
        <v>591</v>
      </c>
      <c r="AL740" s="1366"/>
      <c r="AM740" s="1366"/>
      <c r="AN740" s="1366"/>
      <c r="AO740" s="1367"/>
      <c r="AP740" s="3"/>
      <c r="AQ740" s="3"/>
      <c r="AR740" s="3"/>
      <c r="AS740" s="3"/>
      <c r="AY740" s="1084"/>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56">
        <f t="shared" si="37"/>
        <v>0</v>
      </c>
      <c r="CH740" s="1457"/>
      <c r="CI740" s="1461">
        <f t="shared" si="38"/>
        <v>0</v>
      </c>
      <c r="CJ740" s="1462"/>
      <c r="CK740" s="1456">
        <f t="shared" si="16"/>
        <v>0</v>
      </c>
      <c r="CL740" s="1457"/>
      <c r="CM740" s="1461">
        <f t="shared" si="17"/>
        <v>0</v>
      </c>
      <c r="CN740" s="1462"/>
      <c r="CO740" s="3"/>
      <c r="CP740" s="1458">
        <f t="shared" si="18"/>
        <v>0</v>
      </c>
      <c r="CQ740" s="1459"/>
      <c r="CR740" s="1459"/>
      <c r="CS740" s="1459"/>
      <c r="CT740" s="1460"/>
      <c r="CU740" s="1452">
        <f t="shared" si="19"/>
        <v>0</v>
      </c>
      <c r="CV740" s="1452"/>
      <c r="CW740" s="1452"/>
      <c r="CX740" s="1452"/>
      <c r="CY740" s="1452"/>
      <c r="CZ740" s="1452">
        <f t="shared" si="20"/>
        <v>0</v>
      </c>
      <c r="DA740" s="1452"/>
      <c r="DB740" s="1452"/>
      <c r="DC740" s="1452"/>
      <c r="DD740" s="1452"/>
      <c r="DE740" s="1452">
        <f t="shared" si="21"/>
        <v>0</v>
      </c>
      <c r="DF740" s="1452"/>
      <c r="DG740" s="1452"/>
      <c r="DH740" s="1452"/>
      <c r="DI740" s="1452"/>
      <c r="DJ740" s="1452">
        <f t="shared" si="22"/>
        <v>0</v>
      </c>
      <c r="DK740" s="1452"/>
      <c r="DL740" s="1452"/>
      <c r="DM740" s="1452"/>
      <c r="DN740" s="1452"/>
      <c r="DO740" s="1452">
        <f t="shared" si="23"/>
        <v>0</v>
      </c>
      <c r="DP740" s="1452"/>
      <c r="DQ740" s="1452"/>
      <c r="DR740" s="1452"/>
      <c r="DS740" s="1452"/>
      <c r="DT740" s="6"/>
      <c r="DU740" s="1454">
        <f t="shared" si="24"/>
        <v>0</v>
      </c>
      <c r="DV740" s="1454"/>
      <c r="DW740" s="1454"/>
      <c r="DX740" s="1454"/>
      <c r="DY740" s="1454"/>
      <c r="DZ740" s="1454">
        <f t="shared" si="25"/>
        <v>0</v>
      </c>
      <c r="EA740" s="1454"/>
      <c r="EB740" s="1454"/>
      <c r="EC740" s="1454"/>
      <c r="ED740" s="1454"/>
      <c r="EE740" s="1454">
        <f t="shared" si="26"/>
        <v>0</v>
      </c>
      <c r="EF740" s="1454"/>
      <c r="EG740" s="1454"/>
      <c r="EH740" s="1454"/>
      <c r="EI740" s="1454"/>
      <c r="EJ740" s="1454">
        <f t="shared" si="27"/>
        <v>0</v>
      </c>
      <c r="EK740" s="1454"/>
      <c r="EL740" s="1454"/>
      <c r="EM740" s="1454"/>
      <c r="EN740" s="1454"/>
      <c r="EO740" s="1454">
        <f t="shared" si="28"/>
        <v>0</v>
      </c>
      <c r="EP740" s="1454"/>
      <c r="EQ740" s="1454"/>
      <c r="ER740" s="1454"/>
      <c r="ES740" s="1454"/>
      <c r="ET740" s="1454">
        <f t="shared" si="29"/>
        <v>0</v>
      </c>
      <c r="EU740" s="1454"/>
      <c r="EV740" s="1454"/>
      <c r="EW740" s="1454"/>
      <c r="EX740" s="1454"/>
      <c r="EZ740" s="1456" t="str">
        <f t="shared" si="30"/>
        <v/>
      </c>
      <c r="FA740" s="1463"/>
      <c r="FB740" s="1463"/>
      <c r="FC740" s="1463"/>
      <c r="FD740" s="1457"/>
      <c r="FE740" s="1456" t="str">
        <f t="shared" si="31"/>
        <v/>
      </c>
      <c r="FF740" s="1463"/>
      <c r="FG740" s="1463"/>
      <c r="FH740" s="1463"/>
      <c r="FI740" s="1457"/>
      <c r="FJ740" s="1456" t="str">
        <f t="shared" si="32"/>
        <v/>
      </c>
      <c r="FK740" s="1463"/>
      <c r="FL740" s="1463"/>
      <c r="FM740" s="1463"/>
      <c r="FN740" s="1457"/>
      <c r="FO740" s="1456" t="str">
        <f t="shared" si="33"/>
        <v/>
      </c>
      <c r="FP740" s="1463"/>
      <c r="FQ740" s="1463"/>
      <c r="FR740" s="1463"/>
      <c r="FS740" s="1457"/>
      <c r="FT740" s="1456" t="str">
        <f t="shared" si="34"/>
        <v/>
      </c>
      <c r="FU740" s="1463"/>
      <c r="FV740" s="1463"/>
      <c r="FW740" s="1463"/>
      <c r="FX740" s="1457"/>
      <c r="FY740" s="1456" t="str">
        <f t="shared" si="35"/>
        <v/>
      </c>
      <c r="FZ740" s="1463"/>
      <c r="GA740" s="1463"/>
      <c r="GB740" s="1463"/>
      <c r="GC740" s="1457"/>
    </row>
    <row r="741" spans="1:185" ht="12.95" customHeight="1">
      <c r="B741" s="1365"/>
      <c r="C741" s="1366"/>
      <c r="D741" s="1366"/>
      <c r="E741" s="1366"/>
      <c r="F741" s="1367"/>
      <c r="G741" s="1347"/>
      <c r="H741" s="1348"/>
      <c r="I741" s="1348"/>
      <c r="J741" s="1349"/>
      <c r="K741" s="1350"/>
      <c r="L741" s="1351"/>
      <c r="M741" s="1351"/>
      <c r="N741" s="1352"/>
      <c r="O741" s="1343"/>
      <c r="P741" s="1344"/>
      <c r="Q741" s="1344"/>
      <c r="R741" s="1344"/>
      <c r="S741" s="1345"/>
      <c r="T741" s="1343"/>
      <c r="U741" s="1344"/>
      <c r="V741" s="1344"/>
      <c r="W741" s="1345"/>
      <c r="X741" s="1340">
        <f t="shared" si="8"/>
        <v>0</v>
      </c>
      <c r="Y741" s="1341"/>
      <c r="Z741" s="1341"/>
      <c r="AA741" s="1341"/>
      <c r="AB741" s="1342"/>
      <c r="AC741" s="1353"/>
      <c r="AD741" s="1354"/>
      <c r="AE741" s="1354"/>
      <c r="AF741" s="1354"/>
      <c r="AG741" s="1355"/>
      <c r="AH741" s="1336" t="str">
        <f t="shared" si="36"/>
        <v/>
      </c>
      <c r="AI741" s="1337"/>
      <c r="AJ741" s="1338"/>
      <c r="AK741" s="1365" t="s">
        <v>591</v>
      </c>
      <c r="AL741" s="1366"/>
      <c r="AM741" s="1366"/>
      <c r="AN741" s="1366"/>
      <c r="AO741" s="1367"/>
      <c r="AP741" s="3"/>
      <c r="AQ741" s="3"/>
      <c r="AR741" s="3"/>
      <c r="AS741" s="3"/>
      <c r="AY741" s="1084"/>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56">
        <f t="shared" si="37"/>
        <v>0</v>
      </c>
      <c r="CH741" s="1457"/>
      <c r="CI741" s="1461">
        <f t="shared" si="38"/>
        <v>0</v>
      </c>
      <c r="CJ741" s="1462"/>
      <c r="CK741" s="1456">
        <f t="shared" si="16"/>
        <v>0</v>
      </c>
      <c r="CL741" s="1457"/>
      <c r="CM741" s="1461">
        <f t="shared" si="17"/>
        <v>0</v>
      </c>
      <c r="CN741" s="1462"/>
      <c r="CO741" s="3"/>
      <c r="CP741" s="1458">
        <f t="shared" si="18"/>
        <v>0</v>
      </c>
      <c r="CQ741" s="1459"/>
      <c r="CR741" s="1459"/>
      <c r="CS741" s="1459"/>
      <c r="CT741" s="1460"/>
      <c r="CU741" s="1452">
        <f t="shared" si="19"/>
        <v>0</v>
      </c>
      <c r="CV741" s="1452"/>
      <c r="CW741" s="1452"/>
      <c r="CX741" s="1452"/>
      <c r="CY741" s="1452"/>
      <c r="CZ741" s="1452">
        <f t="shared" si="20"/>
        <v>0</v>
      </c>
      <c r="DA741" s="1452"/>
      <c r="DB741" s="1452"/>
      <c r="DC741" s="1452"/>
      <c r="DD741" s="1452"/>
      <c r="DE741" s="1452">
        <f t="shared" si="21"/>
        <v>0</v>
      </c>
      <c r="DF741" s="1452"/>
      <c r="DG741" s="1452"/>
      <c r="DH741" s="1452"/>
      <c r="DI741" s="1452"/>
      <c r="DJ741" s="1452">
        <f t="shared" si="22"/>
        <v>0</v>
      </c>
      <c r="DK741" s="1452"/>
      <c r="DL741" s="1452"/>
      <c r="DM741" s="1452"/>
      <c r="DN741" s="1452"/>
      <c r="DO741" s="1452">
        <f t="shared" si="23"/>
        <v>0</v>
      </c>
      <c r="DP741" s="1452"/>
      <c r="DQ741" s="1452"/>
      <c r="DR741" s="1452"/>
      <c r="DS741" s="1452"/>
      <c r="DT741" s="6"/>
      <c r="DU741" s="1454">
        <f t="shared" si="24"/>
        <v>0</v>
      </c>
      <c r="DV741" s="1454"/>
      <c r="DW741" s="1454"/>
      <c r="DX741" s="1454"/>
      <c r="DY741" s="1454"/>
      <c r="DZ741" s="1454">
        <f t="shared" si="25"/>
        <v>0</v>
      </c>
      <c r="EA741" s="1454"/>
      <c r="EB741" s="1454"/>
      <c r="EC741" s="1454"/>
      <c r="ED741" s="1454"/>
      <c r="EE741" s="1454">
        <f t="shared" si="26"/>
        <v>0</v>
      </c>
      <c r="EF741" s="1454"/>
      <c r="EG741" s="1454"/>
      <c r="EH741" s="1454"/>
      <c r="EI741" s="1454"/>
      <c r="EJ741" s="1454">
        <f t="shared" si="27"/>
        <v>0</v>
      </c>
      <c r="EK741" s="1454"/>
      <c r="EL741" s="1454"/>
      <c r="EM741" s="1454"/>
      <c r="EN741" s="1454"/>
      <c r="EO741" s="1454">
        <f t="shared" si="28"/>
        <v>0</v>
      </c>
      <c r="EP741" s="1454"/>
      <c r="EQ741" s="1454"/>
      <c r="ER741" s="1454"/>
      <c r="ES741" s="1454"/>
      <c r="ET741" s="1454">
        <f t="shared" si="29"/>
        <v>0</v>
      </c>
      <c r="EU741" s="1454"/>
      <c r="EV741" s="1454"/>
      <c r="EW741" s="1454"/>
      <c r="EX741" s="1454"/>
      <c r="EZ741" s="1456" t="str">
        <f t="shared" si="30"/>
        <v/>
      </c>
      <c r="FA741" s="1463"/>
      <c r="FB741" s="1463"/>
      <c r="FC741" s="1463"/>
      <c r="FD741" s="1457"/>
      <c r="FE741" s="1456" t="str">
        <f t="shared" si="31"/>
        <v/>
      </c>
      <c r="FF741" s="1463"/>
      <c r="FG741" s="1463"/>
      <c r="FH741" s="1463"/>
      <c r="FI741" s="1457"/>
      <c r="FJ741" s="1456" t="str">
        <f t="shared" si="32"/>
        <v/>
      </c>
      <c r="FK741" s="1463"/>
      <c r="FL741" s="1463"/>
      <c r="FM741" s="1463"/>
      <c r="FN741" s="1457"/>
      <c r="FO741" s="1456" t="str">
        <f t="shared" si="33"/>
        <v/>
      </c>
      <c r="FP741" s="1463"/>
      <c r="FQ741" s="1463"/>
      <c r="FR741" s="1463"/>
      <c r="FS741" s="1457"/>
      <c r="FT741" s="1456" t="str">
        <f t="shared" si="34"/>
        <v/>
      </c>
      <c r="FU741" s="1463"/>
      <c r="FV741" s="1463"/>
      <c r="FW741" s="1463"/>
      <c r="FX741" s="1457"/>
      <c r="FY741" s="1456" t="str">
        <f t="shared" si="35"/>
        <v/>
      </c>
      <c r="FZ741" s="1463"/>
      <c r="GA741" s="1463"/>
      <c r="GB741" s="1463"/>
      <c r="GC741" s="1457"/>
    </row>
    <row r="742" spans="1:185" ht="12.95" customHeight="1">
      <c r="B742" s="1365"/>
      <c r="C742" s="1366"/>
      <c r="D742" s="1366"/>
      <c r="E742" s="1366"/>
      <c r="F742" s="1367"/>
      <c r="G742" s="1347"/>
      <c r="H742" s="1348"/>
      <c r="I742" s="1348"/>
      <c r="J742" s="1349"/>
      <c r="K742" s="1350"/>
      <c r="L742" s="1351"/>
      <c r="M742" s="1351"/>
      <c r="N742" s="1352"/>
      <c r="O742" s="1343"/>
      <c r="P742" s="1344"/>
      <c r="Q742" s="1344"/>
      <c r="R742" s="1344"/>
      <c r="S742" s="1345"/>
      <c r="T742" s="1343"/>
      <c r="U742" s="1344"/>
      <c r="V742" s="1344"/>
      <c r="W742" s="1345"/>
      <c r="X742" s="1340">
        <f t="shared" ref="X742:X751" si="39">O742+T742</f>
        <v>0</v>
      </c>
      <c r="Y742" s="1341"/>
      <c r="Z742" s="1341"/>
      <c r="AA742" s="1341"/>
      <c r="AB742" s="1342"/>
      <c r="AC742" s="1353"/>
      <c r="AD742" s="1354"/>
      <c r="AE742" s="1354"/>
      <c r="AF742" s="1354"/>
      <c r="AG742" s="1355"/>
      <c r="AH742" s="1336" t="str">
        <f t="shared" si="36"/>
        <v/>
      </c>
      <c r="AI742" s="1337"/>
      <c r="AJ742" s="1338"/>
      <c r="AK742" s="1365" t="s">
        <v>591</v>
      </c>
      <c r="AL742" s="1366"/>
      <c r="AM742" s="1366"/>
      <c r="AN742" s="1366"/>
      <c r="AO742" s="1367"/>
      <c r="AP742" s="3"/>
      <c r="AQ742" s="3"/>
      <c r="AR742" s="3"/>
      <c r="AS742" s="3"/>
      <c r="AY742" s="1084"/>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56">
        <f t="shared" si="37"/>
        <v>0</v>
      </c>
      <c r="CH742" s="1457"/>
      <c r="CI742" s="1461">
        <f t="shared" si="38"/>
        <v>0</v>
      </c>
      <c r="CJ742" s="1462"/>
      <c r="CK742" s="1456">
        <f t="shared" si="16"/>
        <v>0</v>
      </c>
      <c r="CL742" s="1457"/>
      <c r="CM742" s="1461">
        <f t="shared" si="17"/>
        <v>0</v>
      </c>
      <c r="CN742" s="1462"/>
      <c r="CO742" s="3"/>
      <c r="CP742" s="1458">
        <f t="shared" si="18"/>
        <v>0</v>
      </c>
      <c r="CQ742" s="1459"/>
      <c r="CR742" s="1459"/>
      <c r="CS742" s="1459"/>
      <c r="CT742" s="1460"/>
      <c r="CU742" s="1452">
        <f t="shared" si="19"/>
        <v>0</v>
      </c>
      <c r="CV742" s="1452"/>
      <c r="CW742" s="1452"/>
      <c r="CX742" s="1452"/>
      <c r="CY742" s="1452"/>
      <c r="CZ742" s="1452">
        <f t="shared" si="20"/>
        <v>0</v>
      </c>
      <c r="DA742" s="1452"/>
      <c r="DB742" s="1452"/>
      <c r="DC742" s="1452"/>
      <c r="DD742" s="1452"/>
      <c r="DE742" s="1452">
        <f t="shared" si="21"/>
        <v>0</v>
      </c>
      <c r="DF742" s="1452"/>
      <c r="DG742" s="1452"/>
      <c r="DH742" s="1452"/>
      <c r="DI742" s="1452"/>
      <c r="DJ742" s="1452">
        <f t="shared" si="22"/>
        <v>0</v>
      </c>
      <c r="DK742" s="1452"/>
      <c r="DL742" s="1452"/>
      <c r="DM742" s="1452"/>
      <c r="DN742" s="1452"/>
      <c r="DO742" s="1452">
        <f t="shared" si="23"/>
        <v>0</v>
      </c>
      <c r="DP742" s="1452"/>
      <c r="DQ742" s="1452"/>
      <c r="DR742" s="1452"/>
      <c r="DS742" s="1452"/>
      <c r="DT742" s="6"/>
      <c r="DU742" s="1454">
        <f t="shared" si="24"/>
        <v>0</v>
      </c>
      <c r="DV742" s="1454"/>
      <c r="DW742" s="1454"/>
      <c r="DX742" s="1454"/>
      <c r="DY742" s="1454"/>
      <c r="DZ742" s="1454">
        <f t="shared" si="25"/>
        <v>0</v>
      </c>
      <c r="EA742" s="1454"/>
      <c r="EB742" s="1454"/>
      <c r="EC742" s="1454"/>
      <c r="ED742" s="1454"/>
      <c r="EE742" s="1454">
        <f t="shared" si="26"/>
        <v>0</v>
      </c>
      <c r="EF742" s="1454"/>
      <c r="EG742" s="1454"/>
      <c r="EH742" s="1454"/>
      <c r="EI742" s="1454"/>
      <c r="EJ742" s="1454">
        <f t="shared" si="27"/>
        <v>0</v>
      </c>
      <c r="EK742" s="1454"/>
      <c r="EL742" s="1454"/>
      <c r="EM742" s="1454"/>
      <c r="EN742" s="1454"/>
      <c r="EO742" s="1454">
        <f t="shared" si="28"/>
        <v>0</v>
      </c>
      <c r="EP742" s="1454"/>
      <c r="EQ742" s="1454"/>
      <c r="ER742" s="1454"/>
      <c r="ES742" s="1454"/>
      <c r="ET742" s="1454">
        <f t="shared" si="29"/>
        <v>0</v>
      </c>
      <c r="EU742" s="1454"/>
      <c r="EV742" s="1454"/>
      <c r="EW742" s="1454"/>
      <c r="EX742" s="1454"/>
      <c r="EZ742" s="1456" t="str">
        <f t="shared" si="30"/>
        <v/>
      </c>
      <c r="FA742" s="1463"/>
      <c r="FB742" s="1463"/>
      <c r="FC742" s="1463"/>
      <c r="FD742" s="1457"/>
      <c r="FE742" s="1456" t="str">
        <f t="shared" si="31"/>
        <v/>
      </c>
      <c r="FF742" s="1463"/>
      <c r="FG742" s="1463"/>
      <c r="FH742" s="1463"/>
      <c r="FI742" s="1457"/>
      <c r="FJ742" s="1456" t="str">
        <f t="shared" si="32"/>
        <v/>
      </c>
      <c r="FK742" s="1463"/>
      <c r="FL742" s="1463"/>
      <c r="FM742" s="1463"/>
      <c r="FN742" s="1457"/>
      <c r="FO742" s="1456" t="str">
        <f t="shared" si="33"/>
        <v/>
      </c>
      <c r="FP742" s="1463"/>
      <c r="FQ742" s="1463"/>
      <c r="FR742" s="1463"/>
      <c r="FS742" s="1457"/>
      <c r="FT742" s="1456" t="str">
        <f t="shared" si="34"/>
        <v/>
      </c>
      <c r="FU742" s="1463"/>
      <c r="FV742" s="1463"/>
      <c r="FW742" s="1463"/>
      <c r="FX742" s="1457"/>
      <c r="FY742" s="1456" t="str">
        <f t="shared" si="35"/>
        <v/>
      </c>
      <c r="FZ742" s="1463"/>
      <c r="GA742" s="1463"/>
      <c r="GB742" s="1463"/>
      <c r="GC742" s="1457"/>
    </row>
    <row r="743" spans="1:185" s="3" customFormat="1" ht="12.95" customHeight="1">
      <c r="A743"/>
      <c r="B743" s="1365"/>
      <c r="C743" s="1366"/>
      <c r="D743" s="1366"/>
      <c r="E743" s="1366"/>
      <c r="F743" s="1367"/>
      <c r="G743" s="1347"/>
      <c r="H743" s="1348"/>
      <c r="I743" s="1348"/>
      <c r="J743" s="1349"/>
      <c r="K743" s="1350"/>
      <c r="L743" s="1351"/>
      <c r="M743" s="1351"/>
      <c r="N743" s="1352"/>
      <c r="O743" s="1343"/>
      <c r="P743" s="1344"/>
      <c r="Q743" s="1344"/>
      <c r="R743" s="1344"/>
      <c r="S743" s="1345"/>
      <c r="T743" s="1343"/>
      <c r="U743" s="1344"/>
      <c r="V743" s="1344"/>
      <c r="W743" s="1345"/>
      <c r="X743" s="1340">
        <f t="shared" si="39"/>
        <v>0</v>
      </c>
      <c r="Y743" s="1341"/>
      <c r="Z743" s="1341"/>
      <c r="AA743" s="1341"/>
      <c r="AB743" s="1342"/>
      <c r="AC743" s="1353"/>
      <c r="AD743" s="1354"/>
      <c r="AE743" s="1354"/>
      <c r="AF743" s="1354"/>
      <c r="AG743" s="1355"/>
      <c r="AH743" s="1336" t="str">
        <f t="shared" si="36"/>
        <v/>
      </c>
      <c r="AI743" s="1337"/>
      <c r="AJ743" s="1338"/>
      <c r="AK743" s="1365" t="s">
        <v>591</v>
      </c>
      <c r="AL743" s="1366"/>
      <c r="AM743" s="1366"/>
      <c r="AN743" s="1366"/>
      <c r="AO743" s="1367"/>
      <c r="AT743"/>
      <c r="AU743"/>
      <c r="AV743"/>
      <c r="AW743"/>
      <c r="AX743"/>
      <c r="AY743" s="1084"/>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56">
        <f t="shared" si="37"/>
        <v>0</v>
      </c>
      <c r="CH743" s="1457"/>
      <c r="CI743" s="1461">
        <f t="shared" si="38"/>
        <v>0</v>
      </c>
      <c r="CJ743" s="1462"/>
      <c r="CK743" s="1456">
        <f t="shared" si="16"/>
        <v>0</v>
      </c>
      <c r="CL743" s="1457"/>
      <c r="CM743" s="1461">
        <f t="shared" si="17"/>
        <v>0</v>
      </c>
      <c r="CN743" s="1462"/>
      <c r="CP743" s="1458">
        <f t="shared" si="18"/>
        <v>0</v>
      </c>
      <c r="CQ743" s="1459"/>
      <c r="CR743" s="1459"/>
      <c r="CS743" s="1459"/>
      <c r="CT743" s="1460"/>
      <c r="CU743" s="1452">
        <f t="shared" si="19"/>
        <v>0</v>
      </c>
      <c r="CV743" s="1452"/>
      <c r="CW743" s="1452"/>
      <c r="CX743" s="1452"/>
      <c r="CY743" s="1452"/>
      <c r="CZ743" s="1452">
        <f t="shared" si="20"/>
        <v>0</v>
      </c>
      <c r="DA743" s="1452"/>
      <c r="DB743" s="1452"/>
      <c r="DC743" s="1452"/>
      <c r="DD743" s="1452"/>
      <c r="DE743" s="1452">
        <f t="shared" si="21"/>
        <v>0</v>
      </c>
      <c r="DF743" s="1452"/>
      <c r="DG743" s="1452"/>
      <c r="DH743" s="1452"/>
      <c r="DI743" s="1452"/>
      <c r="DJ743" s="1452">
        <f t="shared" si="22"/>
        <v>0</v>
      </c>
      <c r="DK743" s="1452"/>
      <c r="DL743" s="1452"/>
      <c r="DM743" s="1452"/>
      <c r="DN743" s="1452"/>
      <c r="DO743" s="1452">
        <f t="shared" si="23"/>
        <v>0</v>
      </c>
      <c r="DP743" s="1452"/>
      <c r="DQ743" s="1452"/>
      <c r="DR743" s="1452"/>
      <c r="DS743" s="1452"/>
      <c r="DT743" s="6"/>
      <c r="DU743" s="1454">
        <f t="shared" si="24"/>
        <v>0</v>
      </c>
      <c r="DV743" s="1454"/>
      <c r="DW743" s="1454"/>
      <c r="DX743" s="1454"/>
      <c r="DY743" s="1454"/>
      <c r="DZ743" s="1454">
        <f t="shared" si="25"/>
        <v>0</v>
      </c>
      <c r="EA743" s="1454"/>
      <c r="EB743" s="1454"/>
      <c r="EC743" s="1454"/>
      <c r="ED743" s="1454"/>
      <c r="EE743" s="1454">
        <f t="shared" si="26"/>
        <v>0</v>
      </c>
      <c r="EF743" s="1454"/>
      <c r="EG743" s="1454"/>
      <c r="EH743" s="1454"/>
      <c r="EI743" s="1454"/>
      <c r="EJ743" s="1454">
        <f t="shared" si="27"/>
        <v>0</v>
      </c>
      <c r="EK743" s="1454"/>
      <c r="EL743" s="1454"/>
      <c r="EM743" s="1454"/>
      <c r="EN743" s="1454"/>
      <c r="EO743" s="1454">
        <f t="shared" si="28"/>
        <v>0</v>
      </c>
      <c r="EP743" s="1454"/>
      <c r="EQ743" s="1454"/>
      <c r="ER743" s="1454"/>
      <c r="ES743" s="1454"/>
      <c r="ET743" s="1454">
        <f t="shared" si="29"/>
        <v>0</v>
      </c>
      <c r="EU743" s="1454"/>
      <c r="EV743" s="1454"/>
      <c r="EW743" s="1454"/>
      <c r="EX743" s="1454"/>
      <c r="EY743"/>
      <c r="EZ743" s="1456" t="str">
        <f t="shared" si="30"/>
        <v/>
      </c>
      <c r="FA743" s="1463"/>
      <c r="FB743" s="1463"/>
      <c r="FC743" s="1463"/>
      <c r="FD743" s="1457"/>
      <c r="FE743" s="1456" t="str">
        <f t="shared" si="31"/>
        <v/>
      </c>
      <c r="FF743" s="1463"/>
      <c r="FG743" s="1463"/>
      <c r="FH743" s="1463"/>
      <c r="FI743" s="1457"/>
      <c r="FJ743" s="1456" t="str">
        <f t="shared" si="32"/>
        <v/>
      </c>
      <c r="FK743" s="1463"/>
      <c r="FL743" s="1463"/>
      <c r="FM743" s="1463"/>
      <c r="FN743" s="1457"/>
      <c r="FO743" s="1456" t="str">
        <f t="shared" si="33"/>
        <v/>
      </c>
      <c r="FP743" s="1463"/>
      <c r="FQ743" s="1463"/>
      <c r="FR743" s="1463"/>
      <c r="FS743" s="1457"/>
      <c r="FT743" s="1456" t="str">
        <f t="shared" si="34"/>
        <v/>
      </c>
      <c r="FU743" s="1463"/>
      <c r="FV743" s="1463"/>
      <c r="FW743" s="1463"/>
      <c r="FX743" s="1457"/>
      <c r="FY743" s="1456" t="str">
        <f t="shared" si="35"/>
        <v/>
      </c>
      <c r="FZ743" s="1463"/>
      <c r="GA743" s="1463"/>
      <c r="GB743" s="1463"/>
      <c r="GC743" s="1457"/>
    </row>
    <row r="744" spans="1:185" ht="12.95" customHeight="1">
      <c r="B744" s="1365"/>
      <c r="C744" s="1366"/>
      <c r="D744" s="1366"/>
      <c r="E744" s="1366"/>
      <c r="F744" s="1367"/>
      <c r="G744" s="1347"/>
      <c r="H744" s="1348"/>
      <c r="I744" s="1348"/>
      <c r="J744" s="1349"/>
      <c r="K744" s="1350"/>
      <c r="L744" s="1351"/>
      <c r="M744" s="1351"/>
      <c r="N744" s="1352"/>
      <c r="O744" s="1343"/>
      <c r="P744" s="1344"/>
      <c r="Q744" s="1344"/>
      <c r="R744" s="1344"/>
      <c r="S744" s="1345"/>
      <c r="T744" s="1343"/>
      <c r="U744" s="1344"/>
      <c r="V744" s="1344"/>
      <c r="W744" s="1345"/>
      <c r="X744" s="1340">
        <f t="shared" si="39"/>
        <v>0</v>
      </c>
      <c r="Y744" s="1341"/>
      <c r="Z744" s="1341"/>
      <c r="AA744" s="1341"/>
      <c r="AB744" s="1342"/>
      <c r="AC744" s="1353"/>
      <c r="AD744" s="1354"/>
      <c r="AE744" s="1354"/>
      <c r="AF744" s="1354"/>
      <c r="AG744" s="1355"/>
      <c r="AH744" s="1336" t="str">
        <f t="shared" si="36"/>
        <v/>
      </c>
      <c r="AI744" s="1337"/>
      <c r="AJ744" s="1338"/>
      <c r="AK744" s="1365" t="s">
        <v>591</v>
      </c>
      <c r="AL744" s="1366"/>
      <c r="AM744" s="1366"/>
      <c r="AN744" s="1366"/>
      <c r="AO744" s="1367"/>
      <c r="AP744" s="3"/>
      <c r="AQ744" s="3"/>
      <c r="AR744" s="3"/>
      <c r="AS744" s="3"/>
      <c r="AY744" s="1084"/>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56">
        <f t="shared" si="37"/>
        <v>0</v>
      </c>
      <c r="CH744" s="1457"/>
      <c r="CI744" s="1461">
        <f t="shared" si="38"/>
        <v>0</v>
      </c>
      <c r="CJ744" s="1462"/>
      <c r="CK744" s="1456">
        <f t="shared" si="16"/>
        <v>0</v>
      </c>
      <c r="CL744" s="1457"/>
      <c r="CM744" s="1461">
        <f t="shared" si="17"/>
        <v>0</v>
      </c>
      <c r="CN744" s="1462"/>
      <c r="CO744" s="3"/>
      <c r="CP744" s="1458">
        <f t="shared" si="18"/>
        <v>0</v>
      </c>
      <c r="CQ744" s="1459"/>
      <c r="CR744" s="1459"/>
      <c r="CS744" s="1459"/>
      <c r="CT744" s="1460"/>
      <c r="CU744" s="1452">
        <f t="shared" si="19"/>
        <v>0</v>
      </c>
      <c r="CV744" s="1452"/>
      <c r="CW744" s="1452"/>
      <c r="CX744" s="1452"/>
      <c r="CY744" s="1452"/>
      <c r="CZ744" s="1452">
        <f t="shared" si="20"/>
        <v>0</v>
      </c>
      <c r="DA744" s="1452"/>
      <c r="DB744" s="1452"/>
      <c r="DC744" s="1452"/>
      <c r="DD744" s="1452"/>
      <c r="DE744" s="1452">
        <f t="shared" si="21"/>
        <v>0</v>
      </c>
      <c r="DF744" s="1452"/>
      <c r="DG744" s="1452"/>
      <c r="DH744" s="1452"/>
      <c r="DI744" s="1452"/>
      <c r="DJ744" s="1452">
        <f t="shared" si="22"/>
        <v>0</v>
      </c>
      <c r="DK744" s="1452"/>
      <c r="DL744" s="1452"/>
      <c r="DM744" s="1452"/>
      <c r="DN744" s="1452"/>
      <c r="DO744" s="1452">
        <f t="shared" si="23"/>
        <v>0</v>
      </c>
      <c r="DP744" s="1452"/>
      <c r="DQ744" s="1452"/>
      <c r="DR744" s="1452"/>
      <c r="DS744" s="1452"/>
      <c r="DT744" s="6"/>
      <c r="DU744" s="1454">
        <f t="shared" si="24"/>
        <v>0</v>
      </c>
      <c r="DV744" s="1454"/>
      <c r="DW744" s="1454"/>
      <c r="DX744" s="1454"/>
      <c r="DY744" s="1454"/>
      <c r="DZ744" s="1454">
        <f t="shared" si="25"/>
        <v>0</v>
      </c>
      <c r="EA744" s="1454"/>
      <c r="EB744" s="1454"/>
      <c r="EC744" s="1454"/>
      <c r="ED744" s="1454"/>
      <c r="EE744" s="1454">
        <f t="shared" si="26"/>
        <v>0</v>
      </c>
      <c r="EF744" s="1454"/>
      <c r="EG744" s="1454"/>
      <c r="EH744" s="1454"/>
      <c r="EI744" s="1454"/>
      <c r="EJ744" s="1454">
        <f t="shared" si="27"/>
        <v>0</v>
      </c>
      <c r="EK744" s="1454"/>
      <c r="EL744" s="1454"/>
      <c r="EM744" s="1454"/>
      <c r="EN744" s="1454"/>
      <c r="EO744" s="1454">
        <f t="shared" si="28"/>
        <v>0</v>
      </c>
      <c r="EP744" s="1454"/>
      <c r="EQ744" s="1454"/>
      <c r="ER744" s="1454"/>
      <c r="ES744" s="1454"/>
      <c r="ET744" s="1454">
        <f t="shared" si="29"/>
        <v>0</v>
      </c>
      <c r="EU744" s="1454"/>
      <c r="EV744" s="1454"/>
      <c r="EW744" s="1454"/>
      <c r="EX744" s="1454"/>
      <c r="EZ744" s="1456" t="str">
        <f t="shared" si="30"/>
        <v/>
      </c>
      <c r="FA744" s="1463"/>
      <c r="FB744" s="1463"/>
      <c r="FC744" s="1463"/>
      <c r="FD744" s="1457"/>
      <c r="FE744" s="1456" t="str">
        <f t="shared" si="31"/>
        <v/>
      </c>
      <c r="FF744" s="1463"/>
      <c r="FG744" s="1463"/>
      <c r="FH744" s="1463"/>
      <c r="FI744" s="1457"/>
      <c r="FJ744" s="1456" t="str">
        <f t="shared" si="32"/>
        <v/>
      </c>
      <c r="FK744" s="1463"/>
      <c r="FL744" s="1463"/>
      <c r="FM744" s="1463"/>
      <c r="FN744" s="1457"/>
      <c r="FO744" s="1456" t="str">
        <f t="shared" si="33"/>
        <v/>
      </c>
      <c r="FP744" s="1463"/>
      <c r="FQ744" s="1463"/>
      <c r="FR744" s="1463"/>
      <c r="FS744" s="1457"/>
      <c r="FT744" s="1456" t="str">
        <f t="shared" si="34"/>
        <v/>
      </c>
      <c r="FU744" s="1463"/>
      <c r="FV744" s="1463"/>
      <c r="FW744" s="1463"/>
      <c r="FX744" s="1457"/>
      <c r="FY744" s="1456" t="str">
        <f t="shared" si="35"/>
        <v/>
      </c>
      <c r="FZ744" s="1463"/>
      <c r="GA744" s="1463"/>
      <c r="GB744" s="1463"/>
      <c r="GC744" s="1457"/>
    </row>
    <row r="745" spans="1:185" ht="12.95" customHeight="1">
      <c r="B745" s="1365"/>
      <c r="C745" s="1366"/>
      <c r="D745" s="1366"/>
      <c r="E745" s="1366"/>
      <c r="F745" s="1367"/>
      <c r="G745" s="1347"/>
      <c r="H745" s="1348"/>
      <c r="I745" s="1348"/>
      <c r="J745" s="1349"/>
      <c r="K745" s="1350"/>
      <c r="L745" s="1351"/>
      <c r="M745" s="1351"/>
      <c r="N745" s="1352"/>
      <c r="O745" s="1343"/>
      <c r="P745" s="1344"/>
      <c r="Q745" s="1344"/>
      <c r="R745" s="1344"/>
      <c r="S745" s="1345"/>
      <c r="T745" s="1343"/>
      <c r="U745" s="1344"/>
      <c r="V745" s="1344"/>
      <c r="W745" s="1345"/>
      <c r="X745" s="1340">
        <f t="shared" si="39"/>
        <v>0</v>
      </c>
      <c r="Y745" s="1341"/>
      <c r="Z745" s="1341"/>
      <c r="AA745" s="1341"/>
      <c r="AB745" s="1342"/>
      <c r="AC745" s="1353"/>
      <c r="AD745" s="1354"/>
      <c r="AE745" s="1354"/>
      <c r="AF745" s="1354"/>
      <c r="AG745" s="1355"/>
      <c r="AH745" s="1336" t="str">
        <f t="shared" si="36"/>
        <v/>
      </c>
      <c r="AI745" s="1337"/>
      <c r="AJ745" s="1338"/>
      <c r="AK745" s="1365" t="s">
        <v>591</v>
      </c>
      <c r="AL745" s="1366"/>
      <c r="AM745" s="1366"/>
      <c r="AN745" s="1366"/>
      <c r="AO745" s="1367"/>
      <c r="AP745" s="3"/>
      <c r="AQ745" s="3"/>
      <c r="AR745" s="3"/>
      <c r="AS745" s="3"/>
      <c r="AY745" s="1084"/>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56">
        <f t="shared" si="37"/>
        <v>0</v>
      </c>
      <c r="CH745" s="1457"/>
      <c r="CI745" s="1461">
        <f t="shared" si="38"/>
        <v>0</v>
      </c>
      <c r="CJ745" s="1462"/>
      <c r="CK745" s="1456">
        <f t="shared" si="16"/>
        <v>0</v>
      </c>
      <c r="CL745" s="1457"/>
      <c r="CM745" s="1461">
        <f t="shared" si="17"/>
        <v>0</v>
      </c>
      <c r="CN745" s="1462"/>
      <c r="CO745" s="3"/>
      <c r="CP745" s="1458">
        <f t="shared" si="18"/>
        <v>0</v>
      </c>
      <c r="CQ745" s="1459"/>
      <c r="CR745" s="1459"/>
      <c r="CS745" s="1459"/>
      <c r="CT745" s="1460"/>
      <c r="CU745" s="1452">
        <f t="shared" si="19"/>
        <v>0</v>
      </c>
      <c r="CV745" s="1452"/>
      <c r="CW745" s="1452"/>
      <c r="CX745" s="1452"/>
      <c r="CY745" s="1452"/>
      <c r="CZ745" s="1452">
        <f t="shared" si="20"/>
        <v>0</v>
      </c>
      <c r="DA745" s="1452"/>
      <c r="DB745" s="1452"/>
      <c r="DC745" s="1452"/>
      <c r="DD745" s="1452"/>
      <c r="DE745" s="1452">
        <f t="shared" si="21"/>
        <v>0</v>
      </c>
      <c r="DF745" s="1452"/>
      <c r="DG745" s="1452"/>
      <c r="DH745" s="1452"/>
      <c r="DI745" s="1452"/>
      <c r="DJ745" s="1452">
        <f t="shared" si="22"/>
        <v>0</v>
      </c>
      <c r="DK745" s="1452"/>
      <c r="DL745" s="1452"/>
      <c r="DM745" s="1452"/>
      <c r="DN745" s="1452"/>
      <c r="DO745" s="1452">
        <f t="shared" si="23"/>
        <v>0</v>
      </c>
      <c r="DP745" s="1452"/>
      <c r="DQ745" s="1452"/>
      <c r="DR745" s="1452"/>
      <c r="DS745" s="1452"/>
      <c r="DT745" s="6"/>
      <c r="DU745" s="1454">
        <f t="shared" si="24"/>
        <v>0</v>
      </c>
      <c r="DV745" s="1454"/>
      <c r="DW745" s="1454"/>
      <c r="DX745" s="1454"/>
      <c r="DY745" s="1454"/>
      <c r="DZ745" s="1454">
        <f t="shared" si="25"/>
        <v>0</v>
      </c>
      <c r="EA745" s="1454"/>
      <c r="EB745" s="1454"/>
      <c r="EC745" s="1454"/>
      <c r="ED745" s="1454"/>
      <c r="EE745" s="1454">
        <f t="shared" si="26"/>
        <v>0</v>
      </c>
      <c r="EF745" s="1454"/>
      <c r="EG745" s="1454"/>
      <c r="EH745" s="1454"/>
      <c r="EI745" s="1454"/>
      <c r="EJ745" s="1454">
        <f t="shared" si="27"/>
        <v>0</v>
      </c>
      <c r="EK745" s="1454"/>
      <c r="EL745" s="1454"/>
      <c r="EM745" s="1454"/>
      <c r="EN745" s="1454"/>
      <c r="EO745" s="1454">
        <f t="shared" si="28"/>
        <v>0</v>
      </c>
      <c r="EP745" s="1454"/>
      <c r="EQ745" s="1454"/>
      <c r="ER745" s="1454"/>
      <c r="ES745" s="1454"/>
      <c r="ET745" s="1454">
        <f t="shared" si="29"/>
        <v>0</v>
      </c>
      <c r="EU745" s="1454"/>
      <c r="EV745" s="1454"/>
      <c r="EW745" s="1454"/>
      <c r="EX745" s="1454"/>
      <c r="EZ745" s="1456" t="str">
        <f t="shared" si="30"/>
        <v/>
      </c>
      <c r="FA745" s="1463"/>
      <c r="FB745" s="1463"/>
      <c r="FC745" s="1463"/>
      <c r="FD745" s="1457"/>
      <c r="FE745" s="1456" t="str">
        <f t="shared" si="31"/>
        <v/>
      </c>
      <c r="FF745" s="1463"/>
      <c r="FG745" s="1463"/>
      <c r="FH745" s="1463"/>
      <c r="FI745" s="1457"/>
      <c r="FJ745" s="1456" t="str">
        <f t="shared" si="32"/>
        <v/>
      </c>
      <c r="FK745" s="1463"/>
      <c r="FL745" s="1463"/>
      <c r="FM745" s="1463"/>
      <c r="FN745" s="1457"/>
      <c r="FO745" s="1456" t="str">
        <f t="shared" si="33"/>
        <v/>
      </c>
      <c r="FP745" s="1463"/>
      <c r="FQ745" s="1463"/>
      <c r="FR745" s="1463"/>
      <c r="FS745" s="1457"/>
      <c r="FT745" s="1456" t="str">
        <f t="shared" si="34"/>
        <v/>
      </c>
      <c r="FU745" s="1463"/>
      <c r="FV745" s="1463"/>
      <c r="FW745" s="1463"/>
      <c r="FX745" s="1457"/>
      <c r="FY745" s="1456" t="str">
        <f t="shared" si="35"/>
        <v/>
      </c>
      <c r="FZ745" s="1463"/>
      <c r="GA745" s="1463"/>
      <c r="GB745" s="1463"/>
      <c r="GC745" s="1457"/>
    </row>
    <row r="746" spans="1:185" ht="12.95" customHeight="1">
      <c r="B746" s="1365"/>
      <c r="C746" s="1366"/>
      <c r="D746" s="1366"/>
      <c r="E746" s="1366"/>
      <c r="F746" s="1367"/>
      <c r="G746" s="1347"/>
      <c r="H746" s="1348"/>
      <c r="I746" s="1348"/>
      <c r="J746" s="1349"/>
      <c r="K746" s="1350"/>
      <c r="L746" s="1351"/>
      <c r="M746" s="1351"/>
      <c r="N746" s="1352"/>
      <c r="O746" s="1343"/>
      <c r="P746" s="1344"/>
      <c r="Q746" s="1344"/>
      <c r="R746" s="1344"/>
      <c r="S746" s="1345"/>
      <c r="T746" s="1343"/>
      <c r="U746" s="1344"/>
      <c r="V746" s="1344"/>
      <c r="W746" s="1345"/>
      <c r="X746" s="1340">
        <f t="shared" si="39"/>
        <v>0</v>
      </c>
      <c r="Y746" s="1341"/>
      <c r="Z746" s="1341"/>
      <c r="AA746" s="1341"/>
      <c r="AB746" s="1342"/>
      <c r="AC746" s="1353"/>
      <c r="AD746" s="1354"/>
      <c r="AE746" s="1354"/>
      <c r="AF746" s="1354"/>
      <c r="AG746" s="1355"/>
      <c r="AH746" s="1336" t="str">
        <f t="shared" si="36"/>
        <v/>
      </c>
      <c r="AI746" s="1337"/>
      <c r="AJ746" s="1338"/>
      <c r="AK746" s="1365" t="s">
        <v>591</v>
      </c>
      <c r="AL746" s="1366"/>
      <c r="AM746" s="1366"/>
      <c r="AN746" s="1366"/>
      <c r="AO746" s="1367"/>
      <c r="AP746" s="3"/>
      <c r="AQ746" s="3"/>
      <c r="AR746" s="3"/>
      <c r="AS746" s="3"/>
      <c r="AY746" s="1084"/>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56">
        <f t="shared" si="37"/>
        <v>0</v>
      </c>
      <c r="CH746" s="1457"/>
      <c r="CI746" s="1461">
        <f t="shared" si="38"/>
        <v>0</v>
      </c>
      <c r="CJ746" s="1462"/>
      <c r="CK746" s="1456">
        <f t="shared" si="16"/>
        <v>0</v>
      </c>
      <c r="CL746" s="1457"/>
      <c r="CM746" s="1461">
        <f t="shared" si="17"/>
        <v>0</v>
      </c>
      <c r="CN746" s="1462"/>
      <c r="CO746" s="3"/>
      <c r="CP746" s="1458">
        <f t="shared" si="18"/>
        <v>0</v>
      </c>
      <c r="CQ746" s="1459"/>
      <c r="CR746" s="1459"/>
      <c r="CS746" s="1459"/>
      <c r="CT746" s="1460"/>
      <c r="CU746" s="1452">
        <f t="shared" si="19"/>
        <v>0</v>
      </c>
      <c r="CV746" s="1452"/>
      <c r="CW746" s="1452"/>
      <c r="CX746" s="1452"/>
      <c r="CY746" s="1452"/>
      <c r="CZ746" s="1452">
        <f t="shared" si="20"/>
        <v>0</v>
      </c>
      <c r="DA746" s="1452"/>
      <c r="DB746" s="1452"/>
      <c r="DC746" s="1452"/>
      <c r="DD746" s="1452"/>
      <c r="DE746" s="1452">
        <f t="shared" si="21"/>
        <v>0</v>
      </c>
      <c r="DF746" s="1452"/>
      <c r="DG746" s="1452"/>
      <c r="DH746" s="1452"/>
      <c r="DI746" s="1452"/>
      <c r="DJ746" s="1452">
        <f t="shared" si="22"/>
        <v>0</v>
      </c>
      <c r="DK746" s="1452"/>
      <c r="DL746" s="1452"/>
      <c r="DM746" s="1452"/>
      <c r="DN746" s="1452"/>
      <c r="DO746" s="1452">
        <f t="shared" si="23"/>
        <v>0</v>
      </c>
      <c r="DP746" s="1452"/>
      <c r="DQ746" s="1452"/>
      <c r="DR746" s="1452"/>
      <c r="DS746" s="1452"/>
      <c r="DT746" s="6"/>
      <c r="DU746" s="1454">
        <f t="shared" si="24"/>
        <v>0</v>
      </c>
      <c r="DV746" s="1454"/>
      <c r="DW746" s="1454"/>
      <c r="DX746" s="1454"/>
      <c r="DY746" s="1454"/>
      <c r="DZ746" s="1454">
        <f t="shared" si="25"/>
        <v>0</v>
      </c>
      <c r="EA746" s="1454"/>
      <c r="EB746" s="1454"/>
      <c r="EC746" s="1454"/>
      <c r="ED746" s="1454"/>
      <c r="EE746" s="1454">
        <f t="shared" si="26"/>
        <v>0</v>
      </c>
      <c r="EF746" s="1454"/>
      <c r="EG746" s="1454"/>
      <c r="EH746" s="1454"/>
      <c r="EI746" s="1454"/>
      <c r="EJ746" s="1454">
        <f t="shared" si="27"/>
        <v>0</v>
      </c>
      <c r="EK746" s="1454"/>
      <c r="EL746" s="1454"/>
      <c r="EM746" s="1454"/>
      <c r="EN746" s="1454"/>
      <c r="EO746" s="1454">
        <f t="shared" si="28"/>
        <v>0</v>
      </c>
      <c r="EP746" s="1454"/>
      <c r="EQ746" s="1454"/>
      <c r="ER746" s="1454"/>
      <c r="ES746" s="1454"/>
      <c r="ET746" s="1454">
        <f t="shared" si="29"/>
        <v>0</v>
      </c>
      <c r="EU746" s="1454"/>
      <c r="EV746" s="1454"/>
      <c r="EW746" s="1454"/>
      <c r="EX746" s="1454"/>
      <c r="EZ746" s="1456" t="str">
        <f t="shared" si="30"/>
        <v/>
      </c>
      <c r="FA746" s="1463"/>
      <c r="FB746" s="1463"/>
      <c r="FC746" s="1463"/>
      <c r="FD746" s="1457"/>
      <c r="FE746" s="1456" t="str">
        <f t="shared" si="31"/>
        <v/>
      </c>
      <c r="FF746" s="1463"/>
      <c r="FG746" s="1463"/>
      <c r="FH746" s="1463"/>
      <c r="FI746" s="1457"/>
      <c r="FJ746" s="1456" t="str">
        <f t="shared" si="32"/>
        <v/>
      </c>
      <c r="FK746" s="1463"/>
      <c r="FL746" s="1463"/>
      <c r="FM746" s="1463"/>
      <c r="FN746" s="1457"/>
      <c r="FO746" s="1456" t="str">
        <f t="shared" si="33"/>
        <v/>
      </c>
      <c r="FP746" s="1463"/>
      <c r="FQ746" s="1463"/>
      <c r="FR746" s="1463"/>
      <c r="FS746" s="1457"/>
      <c r="FT746" s="1456" t="str">
        <f t="shared" si="34"/>
        <v/>
      </c>
      <c r="FU746" s="1463"/>
      <c r="FV746" s="1463"/>
      <c r="FW746" s="1463"/>
      <c r="FX746" s="1457"/>
      <c r="FY746" s="1456" t="str">
        <f t="shared" si="35"/>
        <v/>
      </c>
      <c r="FZ746" s="1463"/>
      <c r="GA746" s="1463"/>
      <c r="GB746" s="1463"/>
      <c r="GC746" s="1457"/>
    </row>
    <row r="747" spans="1:185" ht="12.95" customHeight="1">
      <c r="B747" s="1365"/>
      <c r="C747" s="1366"/>
      <c r="D747" s="1366"/>
      <c r="E747" s="1366"/>
      <c r="F747" s="1367"/>
      <c r="G747" s="1347"/>
      <c r="H747" s="1348"/>
      <c r="I747" s="1348"/>
      <c r="J747" s="1349"/>
      <c r="K747" s="1350"/>
      <c r="L747" s="1351"/>
      <c r="M747" s="1351"/>
      <c r="N747" s="1352"/>
      <c r="O747" s="1343"/>
      <c r="P747" s="1344"/>
      <c r="Q747" s="1344"/>
      <c r="R747" s="1344"/>
      <c r="S747" s="1345"/>
      <c r="T747" s="1343"/>
      <c r="U747" s="1344"/>
      <c r="V747" s="1344"/>
      <c r="W747" s="1345"/>
      <c r="X747" s="1340">
        <f t="shared" si="39"/>
        <v>0</v>
      </c>
      <c r="Y747" s="1341"/>
      <c r="Z747" s="1341"/>
      <c r="AA747" s="1341"/>
      <c r="AB747" s="1342"/>
      <c r="AC747" s="1353"/>
      <c r="AD747" s="1354"/>
      <c r="AE747" s="1354"/>
      <c r="AF747" s="1354"/>
      <c r="AG747" s="1355"/>
      <c r="AH747" s="1336" t="str">
        <f t="shared" si="36"/>
        <v/>
      </c>
      <c r="AI747" s="1337"/>
      <c r="AJ747" s="1338"/>
      <c r="AK747" s="1365" t="s">
        <v>591</v>
      </c>
      <c r="AL747" s="1366"/>
      <c r="AM747" s="1366"/>
      <c r="AN747" s="1366"/>
      <c r="AO747" s="1367"/>
      <c r="AP747" s="3"/>
      <c r="AQ747" s="3"/>
      <c r="AR747" s="3"/>
      <c r="AS747" s="3"/>
      <c r="AY747" s="1084"/>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56">
        <f t="shared" si="37"/>
        <v>0</v>
      </c>
      <c r="CH747" s="1457"/>
      <c r="CI747" s="1461">
        <f t="shared" si="38"/>
        <v>0</v>
      </c>
      <c r="CJ747" s="1462"/>
      <c r="CK747" s="1456">
        <f t="shared" si="16"/>
        <v>0</v>
      </c>
      <c r="CL747" s="1457"/>
      <c r="CM747" s="1461">
        <f t="shared" si="17"/>
        <v>0</v>
      </c>
      <c r="CN747" s="1462"/>
      <c r="CO747" s="3"/>
      <c r="CP747" s="1458">
        <f t="shared" si="18"/>
        <v>0</v>
      </c>
      <c r="CQ747" s="1459"/>
      <c r="CR747" s="1459"/>
      <c r="CS747" s="1459"/>
      <c r="CT747" s="1460"/>
      <c r="CU747" s="1452">
        <f t="shared" si="19"/>
        <v>0</v>
      </c>
      <c r="CV747" s="1452"/>
      <c r="CW747" s="1452"/>
      <c r="CX747" s="1452"/>
      <c r="CY747" s="1452"/>
      <c r="CZ747" s="1452">
        <f t="shared" si="20"/>
        <v>0</v>
      </c>
      <c r="DA747" s="1452"/>
      <c r="DB747" s="1452"/>
      <c r="DC747" s="1452"/>
      <c r="DD747" s="1452"/>
      <c r="DE747" s="1452">
        <f t="shared" si="21"/>
        <v>0</v>
      </c>
      <c r="DF747" s="1452"/>
      <c r="DG747" s="1452"/>
      <c r="DH747" s="1452"/>
      <c r="DI747" s="1452"/>
      <c r="DJ747" s="1452">
        <f t="shared" si="22"/>
        <v>0</v>
      </c>
      <c r="DK747" s="1452"/>
      <c r="DL747" s="1452"/>
      <c r="DM747" s="1452"/>
      <c r="DN747" s="1452"/>
      <c r="DO747" s="1452">
        <f t="shared" si="23"/>
        <v>0</v>
      </c>
      <c r="DP747" s="1452"/>
      <c r="DQ747" s="1452"/>
      <c r="DR747" s="1452"/>
      <c r="DS747" s="1452"/>
      <c r="DT747" s="6"/>
      <c r="DU747" s="1454">
        <f t="shared" si="24"/>
        <v>0</v>
      </c>
      <c r="DV747" s="1454"/>
      <c r="DW747" s="1454"/>
      <c r="DX747" s="1454"/>
      <c r="DY747" s="1454"/>
      <c r="DZ747" s="1454">
        <f t="shared" si="25"/>
        <v>0</v>
      </c>
      <c r="EA747" s="1454"/>
      <c r="EB747" s="1454"/>
      <c r="EC747" s="1454"/>
      <c r="ED747" s="1454"/>
      <c r="EE747" s="1454">
        <f t="shared" si="26"/>
        <v>0</v>
      </c>
      <c r="EF747" s="1454"/>
      <c r="EG747" s="1454"/>
      <c r="EH747" s="1454"/>
      <c r="EI747" s="1454"/>
      <c r="EJ747" s="1454">
        <f t="shared" si="27"/>
        <v>0</v>
      </c>
      <c r="EK747" s="1454"/>
      <c r="EL747" s="1454"/>
      <c r="EM747" s="1454"/>
      <c r="EN747" s="1454"/>
      <c r="EO747" s="1454">
        <f t="shared" si="28"/>
        <v>0</v>
      </c>
      <c r="EP747" s="1454"/>
      <c r="EQ747" s="1454"/>
      <c r="ER747" s="1454"/>
      <c r="ES747" s="1454"/>
      <c r="ET747" s="1454">
        <f t="shared" si="29"/>
        <v>0</v>
      </c>
      <c r="EU747" s="1454"/>
      <c r="EV747" s="1454"/>
      <c r="EW747" s="1454"/>
      <c r="EX747" s="1454"/>
      <c r="EZ747" s="1456" t="str">
        <f t="shared" si="30"/>
        <v/>
      </c>
      <c r="FA747" s="1463"/>
      <c r="FB747" s="1463"/>
      <c r="FC747" s="1463"/>
      <c r="FD747" s="1457"/>
      <c r="FE747" s="1456" t="str">
        <f t="shared" si="31"/>
        <v/>
      </c>
      <c r="FF747" s="1463"/>
      <c r="FG747" s="1463"/>
      <c r="FH747" s="1463"/>
      <c r="FI747" s="1457"/>
      <c r="FJ747" s="1456" t="str">
        <f t="shared" si="32"/>
        <v/>
      </c>
      <c r="FK747" s="1463"/>
      <c r="FL747" s="1463"/>
      <c r="FM747" s="1463"/>
      <c r="FN747" s="1457"/>
      <c r="FO747" s="1456" t="str">
        <f t="shared" si="33"/>
        <v/>
      </c>
      <c r="FP747" s="1463"/>
      <c r="FQ747" s="1463"/>
      <c r="FR747" s="1463"/>
      <c r="FS747" s="1457"/>
      <c r="FT747" s="1456" t="str">
        <f t="shared" si="34"/>
        <v/>
      </c>
      <c r="FU747" s="1463"/>
      <c r="FV747" s="1463"/>
      <c r="FW747" s="1463"/>
      <c r="FX747" s="1457"/>
      <c r="FY747" s="1456" t="str">
        <f t="shared" si="35"/>
        <v/>
      </c>
      <c r="FZ747" s="1463"/>
      <c r="GA747" s="1463"/>
      <c r="GB747" s="1463"/>
      <c r="GC747" s="1457"/>
    </row>
    <row r="748" spans="1:185" s="3" customFormat="1" ht="12.95" customHeight="1">
      <c r="A748"/>
      <c r="B748" s="1365"/>
      <c r="C748" s="1366"/>
      <c r="D748" s="1366"/>
      <c r="E748" s="1366"/>
      <c r="F748" s="1367"/>
      <c r="G748" s="1347"/>
      <c r="H748" s="1348"/>
      <c r="I748" s="1348"/>
      <c r="J748" s="1349"/>
      <c r="K748" s="1350"/>
      <c r="L748" s="1351"/>
      <c r="M748" s="1351"/>
      <c r="N748" s="1352"/>
      <c r="O748" s="1343"/>
      <c r="P748" s="1344"/>
      <c r="Q748" s="1344"/>
      <c r="R748" s="1344"/>
      <c r="S748" s="1345"/>
      <c r="T748" s="1343"/>
      <c r="U748" s="1344"/>
      <c r="V748" s="1344"/>
      <c r="W748" s="1345"/>
      <c r="X748" s="1340">
        <f t="shared" si="39"/>
        <v>0</v>
      </c>
      <c r="Y748" s="1341"/>
      <c r="Z748" s="1341"/>
      <c r="AA748" s="1341"/>
      <c r="AB748" s="1342"/>
      <c r="AC748" s="1353"/>
      <c r="AD748" s="1354"/>
      <c r="AE748" s="1354"/>
      <c r="AF748" s="1354"/>
      <c r="AG748" s="1355"/>
      <c r="AH748" s="1336" t="str">
        <f t="shared" si="36"/>
        <v/>
      </c>
      <c r="AI748" s="1337"/>
      <c r="AJ748" s="1338"/>
      <c r="AK748" s="1365" t="s">
        <v>591</v>
      </c>
      <c r="AL748" s="1366"/>
      <c r="AM748" s="1366"/>
      <c r="AN748" s="1366"/>
      <c r="AO748" s="1367"/>
      <c r="AT748"/>
      <c r="AU748"/>
      <c r="AV748"/>
      <c r="AW748"/>
      <c r="AX748"/>
      <c r="AY748" s="1084"/>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56">
        <f t="shared" si="37"/>
        <v>0</v>
      </c>
      <c r="CH748" s="1457"/>
      <c r="CI748" s="1461">
        <f t="shared" si="38"/>
        <v>0</v>
      </c>
      <c r="CJ748" s="1462"/>
      <c r="CK748" s="1456">
        <f t="shared" si="16"/>
        <v>0</v>
      </c>
      <c r="CL748" s="1457"/>
      <c r="CM748" s="1461">
        <f t="shared" si="17"/>
        <v>0</v>
      </c>
      <c r="CN748" s="1462"/>
      <c r="CP748" s="1458">
        <f t="shared" si="18"/>
        <v>0</v>
      </c>
      <c r="CQ748" s="1459"/>
      <c r="CR748" s="1459"/>
      <c r="CS748" s="1459"/>
      <c r="CT748" s="1460"/>
      <c r="CU748" s="1452">
        <f t="shared" si="19"/>
        <v>0</v>
      </c>
      <c r="CV748" s="1452"/>
      <c r="CW748" s="1452"/>
      <c r="CX748" s="1452"/>
      <c r="CY748" s="1452"/>
      <c r="CZ748" s="1452">
        <f t="shared" si="20"/>
        <v>0</v>
      </c>
      <c r="DA748" s="1452"/>
      <c r="DB748" s="1452"/>
      <c r="DC748" s="1452"/>
      <c r="DD748" s="1452"/>
      <c r="DE748" s="1452">
        <f t="shared" si="21"/>
        <v>0</v>
      </c>
      <c r="DF748" s="1452"/>
      <c r="DG748" s="1452"/>
      <c r="DH748" s="1452"/>
      <c r="DI748" s="1452"/>
      <c r="DJ748" s="1452">
        <f t="shared" si="22"/>
        <v>0</v>
      </c>
      <c r="DK748" s="1452"/>
      <c r="DL748" s="1452"/>
      <c r="DM748" s="1452"/>
      <c r="DN748" s="1452"/>
      <c r="DO748" s="1452">
        <f t="shared" si="23"/>
        <v>0</v>
      </c>
      <c r="DP748" s="1452"/>
      <c r="DQ748" s="1452"/>
      <c r="DR748" s="1452"/>
      <c r="DS748" s="1452"/>
      <c r="DT748" s="6"/>
      <c r="DU748" s="1454">
        <f t="shared" si="24"/>
        <v>0</v>
      </c>
      <c r="DV748" s="1454"/>
      <c r="DW748" s="1454"/>
      <c r="DX748" s="1454"/>
      <c r="DY748" s="1454"/>
      <c r="DZ748" s="1454">
        <f t="shared" si="25"/>
        <v>0</v>
      </c>
      <c r="EA748" s="1454"/>
      <c r="EB748" s="1454"/>
      <c r="EC748" s="1454"/>
      <c r="ED748" s="1454"/>
      <c r="EE748" s="1454">
        <f t="shared" si="26"/>
        <v>0</v>
      </c>
      <c r="EF748" s="1454"/>
      <c r="EG748" s="1454"/>
      <c r="EH748" s="1454"/>
      <c r="EI748" s="1454"/>
      <c r="EJ748" s="1454">
        <f t="shared" si="27"/>
        <v>0</v>
      </c>
      <c r="EK748" s="1454"/>
      <c r="EL748" s="1454"/>
      <c r="EM748" s="1454"/>
      <c r="EN748" s="1454"/>
      <c r="EO748" s="1454">
        <f t="shared" si="28"/>
        <v>0</v>
      </c>
      <c r="EP748" s="1454"/>
      <c r="EQ748" s="1454"/>
      <c r="ER748" s="1454"/>
      <c r="ES748" s="1454"/>
      <c r="ET748" s="1454">
        <f t="shared" si="29"/>
        <v>0</v>
      </c>
      <c r="EU748" s="1454"/>
      <c r="EV748" s="1454"/>
      <c r="EW748" s="1454"/>
      <c r="EX748" s="1454"/>
      <c r="EY748"/>
      <c r="EZ748" s="1456" t="str">
        <f t="shared" si="30"/>
        <v/>
      </c>
      <c r="FA748" s="1463"/>
      <c r="FB748" s="1463"/>
      <c r="FC748" s="1463"/>
      <c r="FD748" s="1457"/>
      <c r="FE748" s="1456" t="str">
        <f t="shared" si="31"/>
        <v/>
      </c>
      <c r="FF748" s="1463"/>
      <c r="FG748" s="1463"/>
      <c r="FH748" s="1463"/>
      <c r="FI748" s="1457"/>
      <c r="FJ748" s="1456" t="str">
        <f t="shared" si="32"/>
        <v/>
      </c>
      <c r="FK748" s="1463"/>
      <c r="FL748" s="1463"/>
      <c r="FM748" s="1463"/>
      <c r="FN748" s="1457"/>
      <c r="FO748" s="1456" t="str">
        <f t="shared" si="33"/>
        <v/>
      </c>
      <c r="FP748" s="1463"/>
      <c r="FQ748" s="1463"/>
      <c r="FR748" s="1463"/>
      <c r="FS748" s="1457"/>
      <c r="FT748" s="1456" t="str">
        <f t="shared" si="34"/>
        <v/>
      </c>
      <c r="FU748" s="1463"/>
      <c r="FV748" s="1463"/>
      <c r="FW748" s="1463"/>
      <c r="FX748" s="1457"/>
      <c r="FY748" s="1456" t="str">
        <f t="shared" si="35"/>
        <v/>
      </c>
      <c r="FZ748" s="1463"/>
      <c r="GA748" s="1463"/>
      <c r="GB748" s="1463"/>
      <c r="GC748" s="1457"/>
    </row>
    <row r="749" spans="1:185" s="3" customFormat="1" ht="12.95" customHeight="1">
      <c r="A749"/>
      <c r="B749" s="1365"/>
      <c r="C749" s="1366"/>
      <c r="D749" s="1366"/>
      <c r="E749" s="1366"/>
      <c r="F749" s="1367"/>
      <c r="G749" s="1347"/>
      <c r="H749" s="1348"/>
      <c r="I749" s="1348"/>
      <c r="J749" s="1349"/>
      <c r="K749" s="1350"/>
      <c r="L749" s="1351"/>
      <c r="M749" s="1351"/>
      <c r="N749" s="1352"/>
      <c r="O749" s="1343"/>
      <c r="P749" s="1344"/>
      <c r="Q749" s="1344"/>
      <c r="R749" s="1344"/>
      <c r="S749" s="1345"/>
      <c r="T749" s="1343"/>
      <c r="U749" s="1344"/>
      <c r="V749" s="1344"/>
      <c r="W749" s="1345"/>
      <c r="X749" s="1340">
        <f t="shared" si="39"/>
        <v>0</v>
      </c>
      <c r="Y749" s="1341"/>
      <c r="Z749" s="1341"/>
      <c r="AA749" s="1341"/>
      <c r="AB749" s="1342"/>
      <c r="AC749" s="1353"/>
      <c r="AD749" s="1354"/>
      <c r="AE749" s="1354"/>
      <c r="AF749" s="1354"/>
      <c r="AG749" s="1355"/>
      <c r="AH749" s="1336" t="str">
        <f t="shared" si="36"/>
        <v/>
      </c>
      <c r="AI749" s="1337"/>
      <c r="AJ749" s="1338"/>
      <c r="AK749" s="1365" t="s">
        <v>591</v>
      </c>
      <c r="AL749" s="1366"/>
      <c r="AM749" s="1366"/>
      <c r="AN749" s="1366"/>
      <c r="AO749" s="1367"/>
      <c r="AT749"/>
      <c r="AU749"/>
      <c r="AV749"/>
      <c r="AW749"/>
      <c r="AX749"/>
      <c r="AY749" s="1084"/>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56">
        <f t="shared" si="37"/>
        <v>0</v>
      </c>
      <c r="CH749" s="1457"/>
      <c r="CI749" s="1461">
        <f t="shared" si="38"/>
        <v>0</v>
      </c>
      <c r="CJ749" s="1462"/>
      <c r="CK749" s="1456">
        <f t="shared" si="16"/>
        <v>0</v>
      </c>
      <c r="CL749" s="1457"/>
      <c r="CM749" s="1461">
        <f t="shared" si="17"/>
        <v>0</v>
      </c>
      <c r="CN749" s="1462"/>
      <c r="CP749" s="1458">
        <f t="shared" si="18"/>
        <v>0</v>
      </c>
      <c r="CQ749" s="1459"/>
      <c r="CR749" s="1459"/>
      <c r="CS749" s="1459"/>
      <c r="CT749" s="1460"/>
      <c r="CU749" s="1452">
        <f t="shared" si="19"/>
        <v>0</v>
      </c>
      <c r="CV749" s="1452"/>
      <c r="CW749" s="1452"/>
      <c r="CX749" s="1452"/>
      <c r="CY749" s="1452"/>
      <c r="CZ749" s="1452">
        <f t="shared" si="20"/>
        <v>0</v>
      </c>
      <c r="DA749" s="1452"/>
      <c r="DB749" s="1452"/>
      <c r="DC749" s="1452"/>
      <c r="DD749" s="1452"/>
      <c r="DE749" s="1452">
        <f t="shared" si="21"/>
        <v>0</v>
      </c>
      <c r="DF749" s="1452"/>
      <c r="DG749" s="1452"/>
      <c r="DH749" s="1452"/>
      <c r="DI749" s="1452"/>
      <c r="DJ749" s="1452">
        <f t="shared" si="22"/>
        <v>0</v>
      </c>
      <c r="DK749" s="1452"/>
      <c r="DL749" s="1452"/>
      <c r="DM749" s="1452"/>
      <c r="DN749" s="1452"/>
      <c r="DO749" s="1452">
        <f t="shared" si="23"/>
        <v>0</v>
      </c>
      <c r="DP749" s="1452"/>
      <c r="DQ749" s="1452"/>
      <c r="DR749" s="1452"/>
      <c r="DS749" s="1452"/>
      <c r="DT749" s="6"/>
      <c r="DU749" s="1454">
        <f t="shared" si="24"/>
        <v>0</v>
      </c>
      <c r="DV749" s="1454"/>
      <c r="DW749" s="1454"/>
      <c r="DX749" s="1454"/>
      <c r="DY749" s="1454"/>
      <c r="DZ749" s="1454">
        <f t="shared" si="25"/>
        <v>0</v>
      </c>
      <c r="EA749" s="1454"/>
      <c r="EB749" s="1454"/>
      <c r="EC749" s="1454"/>
      <c r="ED749" s="1454"/>
      <c r="EE749" s="1454">
        <f t="shared" si="26"/>
        <v>0</v>
      </c>
      <c r="EF749" s="1454"/>
      <c r="EG749" s="1454"/>
      <c r="EH749" s="1454"/>
      <c r="EI749" s="1454"/>
      <c r="EJ749" s="1454">
        <f t="shared" si="27"/>
        <v>0</v>
      </c>
      <c r="EK749" s="1454"/>
      <c r="EL749" s="1454"/>
      <c r="EM749" s="1454"/>
      <c r="EN749" s="1454"/>
      <c r="EO749" s="1454">
        <f t="shared" si="28"/>
        <v>0</v>
      </c>
      <c r="EP749" s="1454"/>
      <c r="EQ749" s="1454"/>
      <c r="ER749" s="1454"/>
      <c r="ES749" s="1454"/>
      <c r="ET749" s="1454">
        <f t="shared" si="29"/>
        <v>0</v>
      </c>
      <c r="EU749" s="1454"/>
      <c r="EV749" s="1454"/>
      <c r="EW749" s="1454"/>
      <c r="EX749" s="1454"/>
      <c r="EY749"/>
      <c r="EZ749" s="1456" t="str">
        <f t="shared" si="30"/>
        <v/>
      </c>
      <c r="FA749" s="1463"/>
      <c r="FB749" s="1463"/>
      <c r="FC749" s="1463"/>
      <c r="FD749" s="1457"/>
      <c r="FE749" s="1456" t="str">
        <f t="shared" si="31"/>
        <v/>
      </c>
      <c r="FF749" s="1463"/>
      <c r="FG749" s="1463"/>
      <c r="FH749" s="1463"/>
      <c r="FI749" s="1457"/>
      <c r="FJ749" s="1456" t="str">
        <f t="shared" si="32"/>
        <v/>
      </c>
      <c r="FK749" s="1463"/>
      <c r="FL749" s="1463"/>
      <c r="FM749" s="1463"/>
      <c r="FN749" s="1457"/>
      <c r="FO749" s="1456" t="str">
        <f t="shared" si="33"/>
        <v/>
      </c>
      <c r="FP749" s="1463"/>
      <c r="FQ749" s="1463"/>
      <c r="FR749" s="1463"/>
      <c r="FS749" s="1457"/>
      <c r="FT749" s="1456" t="str">
        <f t="shared" si="34"/>
        <v/>
      </c>
      <c r="FU749" s="1463"/>
      <c r="FV749" s="1463"/>
      <c r="FW749" s="1463"/>
      <c r="FX749" s="1457"/>
      <c r="FY749" s="1456" t="str">
        <f t="shared" si="35"/>
        <v/>
      </c>
      <c r="FZ749" s="1463"/>
      <c r="GA749" s="1463"/>
      <c r="GB749" s="1463"/>
      <c r="GC749" s="1457"/>
    </row>
    <row r="750" spans="1:185" s="3" customFormat="1" ht="12.95" customHeight="1">
      <c r="A750"/>
      <c r="B750" s="1365"/>
      <c r="C750" s="1366"/>
      <c r="D750" s="1366"/>
      <c r="E750" s="1366"/>
      <c r="F750" s="1367"/>
      <c r="G750" s="1347"/>
      <c r="H750" s="1348"/>
      <c r="I750" s="1348"/>
      <c r="J750" s="1349"/>
      <c r="K750" s="1350"/>
      <c r="L750" s="1351"/>
      <c r="M750" s="1351"/>
      <c r="N750" s="1352"/>
      <c r="O750" s="1343"/>
      <c r="P750" s="1344"/>
      <c r="Q750" s="1344"/>
      <c r="R750" s="1344"/>
      <c r="S750" s="1345"/>
      <c r="T750" s="1343"/>
      <c r="U750" s="1344"/>
      <c r="V750" s="1344"/>
      <c r="W750" s="1345"/>
      <c r="X750" s="1340">
        <f t="shared" si="39"/>
        <v>0</v>
      </c>
      <c r="Y750" s="1341"/>
      <c r="Z750" s="1341"/>
      <c r="AA750" s="1341"/>
      <c r="AB750" s="1342"/>
      <c r="AC750" s="1353"/>
      <c r="AD750" s="1354"/>
      <c r="AE750" s="1354"/>
      <c r="AF750" s="1354"/>
      <c r="AG750" s="1355"/>
      <c r="AH750" s="1336" t="str">
        <f t="shared" si="36"/>
        <v/>
      </c>
      <c r="AI750" s="1337"/>
      <c r="AJ750" s="1338"/>
      <c r="AK750" s="1365" t="s">
        <v>591</v>
      </c>
      <c r="AL750" s="1366"/>
      <c r="AM750" s="1366"/>
      <c r="AN750" s="1366"/>
      <c r="AO750" s="136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56">
        <f t="shared" si="37"/>
        <v>0</v>
      </c>
      <c r="CH750" s="1457"/>
      <c r="CI750" s="1461">
        <f t="shared" si="38"/>
        <v>0</v>
      </c>
      <c r="CJ750" s="1462"/>
      <c r="CK750" s="1456">
        <f t="shared" si="16"/>
        <v>0</v>
      </c>
      <c r="CL750" s="1457"/>
      <c r="CM750" s="1461">
        <f t="shared" si="17"/>
        <v>0</v>
      </c>
      <c r="CN750" s="1462"/>
      <c r="CP750" s="1458">
        <f t="shared" si="18"/>
        <v>0</v>
      </c>
      <c r="CQ750" s="1459"/>
      <c r="CR750" s="1459"/>
      <c r="CS750" s="1459"/>
      <c r="CT750" s="1460"/>
      <c r="CU750" s="1452">
        <f t="shared" si="19"/>
        <v>0</v>
      </c>
      <c r="CV750" s="1452"/>
      <c r="CW750" s="1452"/>
      <c r="CX750" s="1452"/>
      <c r="CY750" s="1452"/>
      <c r="CZ750" s="1452">
        <f t="shared" si="20"/>
        <v>0</v>
      </c>
      <c r="DA750" s="1452"/>
      <c r="DB750" s="1452"/>
      <c r="DC750" s="1452"/>
      <c r="DD750" s="1452"/>
      <c r="DE750" s="1452">
        <f t="shared" si="21"/>
        <v>0</v>
      </c>
      <c r="DF750" s="1452"/>
      <c r="DG750" s="1452"/>
      <c r="DH750" s="1452"/>
      <c r="DI750" s="1452"/>
      <c r="DJ750" s="1452">
        <f t="shared" si="22"/>
        <v>0</v>
      </c>
      <c r="DK750" s="1452"/>
      <c r="DL750" s="1452"/>
      <c r="DM750" s="1452"/>
      <c r="DN750" s="1452"/>
      <c r="DO750" s="1452">
        <f t="shared" si="23"/>
        <v>0</v>
      </c>
      <c r="DP750" s="1452"/>
      <c r="DQ750" s="1452"/>
      <c r="DR750" s="1452"/>
      <c r="DS750" s="1452"/>
      <c r="DT750" s="6"/>
      <c r="DU750" s="1454">
        <f t="shared" si="24"/>
        <v>0</v>
      </c>
      <c r="DV750" s="1454"/>
      <c r="DW750" s="1454"/>
      <c r="DX750" s="1454"/>
      <c r="DY750" s="1454"/>
      <c r="DZ750" s="1454">
        <f t="shared" si="25"/>
        <v>0</v>
      </c>
      <c r="EA750" s="1454"/>
      <c r="EB750" s="1454"/>
      <c r="EC750" s="1454"/>
      <c r="ED750" s="1454"/>
      <c r="EE750" s="1454">
        <f t="shared" si="26"/>
        <v>0</v>
      </c>
      <c r="EF750" s="1454"/>
      <c r="EG750" s="1454"/>
      <c r="EH750" s="1454"/>
      <c r="EI750" s="1454"/>
      <c r="EJ750" s="1454">
        <f t="shared" si="27"/>
        <v>0</v>
      </c>
      <c r="EK750" s="1454"/>
      <c r="EL750" s="1454"/>
      <c r="EM750" s="1454"/>
      <c r="EN750" s="1454"/>
      <c r="EO750" s="1454">
        <f t="shared" si="28"/>
        <v>0</v>
      </c>
      <c r="EP750" s="1454"/>
      <c r="EQ750" s="1454"/>
      <c r="ER750" s="1454"/>
      <c r="ES750" s="1454"/>
      <c r="ET750" s="1454">
        <f t="shared" si="29"/>
        <v>0</v>
      </c>
      <c r="EU750" s="1454"/>
      <c r="EV750" s="1454"/>
      <c r="EW750" s="1454"/>
      <c r="EX750" s="1454"/>
      <c r="EY750"/>
      <c r="EZ750" s="1456" t="str">
        <f t="shared" si="30"/>
        <v/>
      </c>
      <c r="FA750" s="1463"/>
      <c r="FB750" s="1463"/>
      <c r="FC750" s="1463"/>
      <c r="FD750" s="1457"/>
      <c r="FE750" s="1456" t="str">
        <f t="shared" si="31"/>
        <v/>
      </c>
      <c r="FF750" s="1463"/>
      <c r="FG750" s="1463"/>
      <c r="FH750" s="1463"/>
      <c r="FI750" s="1457"/>
      <c r="FJ750" s="1456" t="str">
        <f t="shared" si="32"/>
        <v/>
      </c>
      <c r="FK750" s="1463"/>
      <c r="FL750" s="1463"/>
      <c r="FM750" s="1463"/>
      <c r="FN750" s="1457"/>
      <c r="FO750" s="1456" t="str">
        <f t="shared" si="33"/>
        <v/>
      </c>
      <c r="FP750" s="1463"/>
      <c r="FQ750" s="1463"/>
      <c r="FR750" s="1463"/>
      <c r="FS750" s="1457"/>
      <c r="FT750" s="1456" t="str">
        <f t="shared" si="34"/>
        <v/>
      </c>
      <c r="FU750" s="1463"/>
      <c r="FV750" s="1463"/>
      <c r="FW750" s="1463"/>
      <c r="FX750" s="1457"/>
      <c r="FY750" s="1456" t="str">
        <f t="shared" si="35"/>
        <v/>
      </c>
      <c r="FZ750" s="1463"/>
      <c r="GA750" s="1463"/>
      <c r="GB750" s="1463"/>
      <c r="GC750" s="1457"/>
    </row>
    <row r="751" spans="1:185" s="3" customFormat="1" ht="12.95" customHeight="1">
      <c r="A751"/>
      <c r="B751" s="1365"/>
      <c r="C751" s="1366"/>
      <c r="D751" s="1366"/>
      <c r="E751" s="1366"/>
      <c r="F751" s="1367"/>
      <c r="G751" s="1347"/>
      <c r="H751" s="1348"/>
      <c r="I751" s="1348"/>
      <c r="J751" s="1349"/>
      <c r="K751" s="1350"/>
      <c r="L751" s="1351"/>
      <c r="M751" s="1351"/>
      <c r="N751" s="1352"/>
      <c r="O751" s="1343"/>
      <c r="P751" s="1344"/>
      <c r="Q751" s="1344"/>
      <c r="R751" s="1344"/>
      <c r="S751" s="1345"/>
      <c r="T751" s="1343"/>
      <c r="U751" s="1344"/>
      <c r="V751" s="1344"/>
      <c r="W751" s="1345"/>
      <c r="X751" s="1340">
        <f t="shared" si="39"/>
        <v>0</v>
      </c>
      <c r="Y751" s="1341"/>
      <c r="Z751" s="1341"/>
      <c r="AA751" s="1341"/>
      <c r="AB751" s="1342"/>
      <c r="AC751" s="1353"/>
      <c r="AD751" s="1354"/>
      <c r="AE751" s="1354"/>
      <c r="AF751" s="1354"/>
      <c r="AG751" s="1355"/>
      <c r="AH751" s="1336" t="str">
        <f t="shared" si="36"/>
        <v/>
      </c>
      <c r="AI751" s="1337"/>
      <c r="AJ751" s="1338"/>
      <c r="AK751" s="1365" t="s">
        <v>591</v>
      </c>
      <c r="AL751" s="1366"/>
      <c r="AM751" s="1366"/>
      <c r="AN751" s="1366"/>
      <c r="AO751" s="136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56">
        <f t="shared" si="37"/>
        <v>0</v>
      </c>
      <c r="CH751" s="1457"/>
      <c r="CI751" s="1461">
        <f t="shared" si="38"/>
        <v>0</v>
      </c>
      <c r="CJ751" s="1462"/>
      <c r="CK751" s="1456">
        <f t="shared" si="16"/>
        <v>0</v>
      </c>
      <c r="CL751" s="1457"/>
      <c r="CM751" s="1461">
        <f t="shared" si="17"/>
        <v>0</v>
      </c>
      <c r="CN751" s="1462"/>
      <c r="CP751" s="1458">
        <f t="shared" si="18"/>
        <v>0</v>
      </c>
      <c r="CQ751" s="1459"/>
      <c r="CR751" s="1459"/>
      <c r="CS751" s="1459"/>
      <c r="CT751" s="1460"/>
      <c r="CU751" s="1452">
        <f t="shared" si="19"/>
        <v>0</v>
      </c>
      <c r="CV751" s="1452"/>
      <c r="CW751" s="1452"/>
      <c r="CX751" s="1452"/>
      <c r="CY751" s="1452"/>
      <c r="CZ751" s="1452">
        <f t="shared" si="20"/>
        <v>0</v>
      </c>
      <c r="DA751" s="1452"/>
      <c r="DB751" s="1452"/>
      <c r="DC751" s="1452"/>
      <c r="DD751" s="1452"/>
      <c r="DE751" s="1452">
        <f t="shared" si="21"/>
        <v>0</v>
      </c>
      <c r="DF751" s="1452"/>
      <c r="DG751" s="1452"/>
      <c r="DH751" s="1452"/>
      <c r="DI751" s="1452"/>
      <c r="DJ751" s="1452">
        <f t="shared" si="22"/>
        <v>0</v>
      </c>
      <c r="DK751" s="1452"/>
      <c r="DL751" s="1452"/>
      <c r="DM751" s="1452"/>
      <c r="DN751" s="1452"/>
      <c r="DO751" s="1452">
        <f t="shared" si="23"/>
        <v>0</v>
      </c>
      <c r="DP751" s="1452"/>
      <c r="DQ751" s="1452"/>
      <c r="DR751" s="1452"/>
      <c r="DS751" s="1452"/>
      <c r="DT751" s="6"/>
      <c r="DU751" s="1454">
        <f t="shared" si="24"/>
        <v>0</v>
      </c>
      <c r="DV751" s="1454"/>
      <c r="DW751" s="1454"/>
      <c r="DX751" s="1454"/>
      <c r="DY751" s="1454"/>
      <c r="DZ751" s="1454">
        <f t="shared" si="25"/>
        <v>0</v>
      </c>
      <c r="EA751" s="1454"/>
      <c r="EB751" s="1454"/>
      <c r="EC751" s="1454"/>
      <c r="ED751" s="1454"/>
      <c r="EE751" s="1454">
        <f t="shared" si="26"/>
        <v>0</v>
      </c>
      <c r="EF751" s="1454"/>
      <c r="EG751" s="1454"/>
      <c r="EH751" s="1454"/>
      <c r="EI751" s="1454"/>
      <c r="EJ751" s="1454">
        <f t="shared" si="27"/>
        <v>0</v>
      </c>
      <c r="EK751" s="1454"/>
      <c r="EL751" s="1454"/>
      <c r="EM751" s="1454"/>
      <c r="EN751" s="1454"/>
      <c r="EO751" s="1454">
        <f t="shared" si="28"/>
        <v>0</v>
      </c>
      <c r="EP751" s="1454"/>
      <c r="EQ751" s="1454"/>
      <c r="ER751" s="1454"/>
      <c r="ES751" s="1454"/>
      <c r="ET751" s="1454">
        <f t="shared" si="29"/>
        <v>0</v>
      </c>
      <c r="EU751" s="1454"/>
      <c r="EV751" s="1454"/>
      <c r="EW751" s="1454"/>
      <c r="EX751" s="1454"/>
      <c r="EY751"/>
      <c r="EZ751" s="1456" t="str">
        <f t="shared" si="30"/>
        <v/>
      </c>
      <c r="FA751" s="1463"/>
      <c r="FB751" s="1463"/>
      <c r="FC751" s="1463"/>
      <c r="FD751" s="1457"/>
      <c r="FE751" s="1456" t="str">
        <f t="shared" si="31"/>
        <v/>
      </c>
      <c r="FF751" s="1463"/>
      <c r="FG751" s="1463"/>
      <c r="FH751" s="1463"/>
      <c r="FI751" s="1457"/>
      <c r="FJ751" s="1456" t="str">
        <f t="shared" si="32"/>
        <v/>
      </c>
      <c r="FK751" s="1463"/>
      <c r="FL751" s="1463"/>
      <c r="FM751" s="1463"/>
      <c r="FN751" s="1457"/>
      <c r="FO751" s="1456" t="str">
        <f t="shared" si="33"/>
        <v/>
      </c>
      <c r="FP751" s="1463"/>
      <c r="FQ751" s="1463"/>
      <c r="FR751" s="1463"/>
      <c r="FS751" s="1457"/>
      <c r="FT751" s="1456" t="str">
        <f t="shared" si="34"/>
        <v/>
      </c>
      <c r="FU751" s="1463"/>
      <c r="FV751" s="1463"/>
      <c r="FW751" s="1463"/>
      <c r="FX751" s="1457"/>
      <c r="FY751" s="1456" t="str">
        <f t="shared" si="35"/>
        <v/>
      </c>
      <c r="FZ751" s="1463"/>
      <c r="GA751" s="1463"/>
      <c r="GB751" s="1463"/>
      <c r="GC751" s="1457"/>
    </row>
    <row r="752" spans="1:185" s="3" customFormat="1" ht="12.95" customHeight="1">
      <c r="A752"/>
      <c r="B752" s="1365"/>
      <c r="C752" s="1366"/>
      <c r="D752" s="1366"/>
      <c r="E752" s="1366"/>
      <c r="F752" s="1367"/>
      <c r="G752" s="1347"/>
      <c r="H752" s="1348"/>
      <c r="I752" s="1348"/>
      <c r="J752" s="1349"/>
      <c r="K752" s="1350"/>
      <c r="L752" s="1351"/>
      <c r="M752" s="1351"/>
      <c r="N752" s="1352"/>
      <c r="O752" s="1343"/>
      <c r="P752" s="1344"/>
      <c r="Q752" s="1344"/>
      <c r="R752" s="1344"/>
      <c r="S752" s="1345"/>
      <c r="T752" s="1343"/>
      <c r="U752" s="1344"/>
      <c r="V752" s="1344"/>
      <c r="W752" s="1345"/>
      <c r="X752" s="1340">
        <f>O752+T752</f>
        <v>0</v>
      </c>
      <c r="Y752" s="1341"/>
      <c r="Z752" s="1341"/>
      <c r="AA752" s="1341"/>
      <c r="AB752" s="1342"/>
      <c r="AC752" s="1353"/>
      <c r="AD752" s="1354"/>
      <c r="AE752" s="1354"/>
      <c r="AF752" s="1354"/>
      <c r="AG752" s="1355"/>
      <c r="AH752" s="1336" t="str">
        <f t="shared" si="36"/>
        <v/>
      </c>
      <c r="AI752" s="1337"/>
      <c r="AJ752" s="1338"/>
      <c r="AK752" s="1365" t="s">
        <v>591</v>
      </c>
      <c r="AL752" s="1366"/>
      <c r="AM752" s="1366"/>
      <c r="AN752" s="1366"/>
      <c r="AO752" s="136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56">
        <f t="shared" si="37"/>
        <v>0</v>
      </c>
      <c r="CH752" s="1457"/>
      <c r="CI752" s="1461">
        <f t="shared" si="38"/>
        <v>0</v>
      </c>
      <c r="CJ752" s="1462"/>
      <c r="CK752" s="1456">
        <f t="shared" si="16"/>
        <v>0</v>
      </c>
      <c r="CL752" s="1457"/>
      <c r="CM752" s="1461">
        <f t="shared" si="17"/>
        <v>0</v>
      </c>
      <c r="CN752" s="1462"/>
      <c r="CP752" s="1458">
        <f t="shared" si="18"/>
        <v>0</v>
      </c>
      <c r="CQ752" s="1459"/>
      <c r="CR752" s="1459"/>
      <c r="CS752" s="1459"/>
      <c r="CT752" s="1460"/>
      <c r="CU752" s="1452">
        <f t="shared" si="19"/>
        <v>0</v>
      </c>
      <c r="CV752" s="1452"/>
      <c r="CW752" s="1452"/>
      <c r="CX752" s="1452"/>
      <c r="CY752" s="1452"/>
      <c r="CZ752" s="1452">
        <f t="shared" si="20"/>
        <v>0</v>
      </c>
      <c r="DA752" s="1452"/>
      <c r="DB752" s="1452"/>
      <c r="DC752" s="1452"/>
      <c r="DD752" s="1452"/>
      <c r="DE752" s="1452">
        <f t="shared" si="21"/>
        <v>0</v>
      </c>
      <c r="DF752" s="1452"/>
      <c r="DG752" s="1452"/>
      <c r="DH752" s="1452"/>
      <c r="DI752" s="1452"/>
      <c r="DJ752" s="1452">
        <f t="shared" si="22"/>
        <v>0</v>
      </c>
      <c r="DK752" s="1452"/>
      <c r="DL752" s="1452"/>
      <c r="DM752" s="1452"/>
      <c r="DN752" s="1452"/>
      <c r="DO752" s="1452">
        <f t="shared" si="23"/>
        <v>0</v>
      </c>
      <c r="DP752" s="1452"/>
      <c r="DQ752" s="1452"/>
      <c r="DR752" s="1452"/>
      <c r="DS752" s="1452"/>
      <c r="DT752" s="6"/>
      <c r="DU752" s="1454">
        <f t="shared" si="24"/>
        <v>0</v>
      </c>
      <c r="DV752" s="1454"/>
      <c r="DW752" s="1454"/>
      <c r="DX752" s="1454"/>
      <c r="DY752" s="1454"/>
      <c r="DZ752" s="1454">
        <f t="shared" si="25"/>
        <v>0</v>
      </c>
      <c r="EA752" s="1454"/>
      <c r="EB752" s="1454"/>
      <c r="EC752" s="1454"/>
      <c r="ED752" s="1454"/>
      <c r="EE752" s="1454">
        <f t="shared" si="26"/>
        <v>0</v>
      </c>
      <c r="EF752" s="1454"/>
      <c r="EG752" s="1454"/>
      <c r="EH752" s="1454"/>
      <c r="EI752" s="1454"/>
      <c r="EJ752" s="1454">
        <f t="shared" si="27"/>
        <v>0</v>
      </c>
      <c r="EK752" s="1454"/>
      <c r="EL752" s="1454"/>
      <c r="EM752" s="1454"/>
      <c r="EN752" s="1454"/>
      <c r="EO752" s="1454">
        <f t="shared" si="28"/>
        <v>0</v>
      </c>
      <c r="EP752" s="1454"/>
      <c r="EQ752" s="1454"/>
      <c r="ER752" s="1454"/>
      <c r="ES752" s="1454"/>
      <c r="ET752" s="1454">
        <f t="shared" si="29"/>
        <v>0</v>
      </c>
      <c r="EU752" s="1454"/>
      <c r="EV752" s="1454"/>
      <c r="EW752" s="1454"/>
      <c r="EX752" s="1454"/>
      <c r="EY752"/>
      <c r="EZ752" s="1456" t="str">
        <f t="shared" si="30"/>
        <v/>
      </c>
      <c r="FA752" s="1463"/>
      <c r="FB752" s="1463"/>
      <c r="FC752" s="1463"/>
      <c r="FD752" s="1457"/>
      <c r="FE752" s="1456" t="str">
        <f t="shared" si="31"/>
        <v/>
      </c>
      <c r="FF752" s="1463"/>
      <c r="FG752" s="1463"/>
      <c r="FH752" s="1463"/>
      <c r="FI752" s="1457"/>
      <c r="FJ752" s="1456" t="str">
        <f t="shared" si="32"/>
        <v/>
      </c>
      <c r="FK752" s="1463"/>
      <c r="FL752" s="1463"/>
      <c r="FM752" s="1463"/>
      <c r="FN752" s="1457"/>
      <c r="FO752" s="1456" t="str">
        <f t="shared" si="33"/>
        <v/>
      </c>
      <c r="FP752" s="1463"/>
      <c r="FQ752" s="1463"/>
      <c r="FR752" s="1463"/>
      <c r="FS752" s="1457"/>
      <c r="FT752" s="1456" t="str">
        <f t="shared" si="34"/>
        <v/>
      </c>
      <c r="FU752" s="1463"/>
      <c r="FV752" s="1463"/>
      <c r="FW752" s="1463"/>
      <c r="FX752" s="1457"/>
      <c r="FY752" s="1456" t="str">
        <f t="shared" si="35"/>
        <v/>
      </c>
      <c r="FZ752" s="1463"/>
      <c r="GA752" s="1463"/>
      <c r="GB752" s="1463"/>
      <c r="GC752" s="1457"/>
    </row>
    <row r="753" spans="1:185" s="3" customFormat="1" ht="12.95" customHeight="1">
      <c r="A753"/>
      <c r="B753" s="1609" t="s">
        <v>125</v>
      </c>
      <c r="C753" s="1610"/>
      <c r="D753" s="1610"/>
      <c r="E753" s="1610"/>
      <c r="F753" s="1611"/>
      <c r="G753" s="1605">
        <f>SUM(G718:G752)</f>
        <v>391</v>
      </c>
      <c r="H753" s="1606"/>
      <c r="I753" s="1606"/>
      <c r="J753" s="1607"/>
      <c r="K753" s="902" t="s">
        <v>124</v>
      </c>
      <c r="L753" s="5"/>
      <c r="M753" s="5"/>
      <c r="N753" s="46"/>
      <c r="O753" s="1340">
        <f>SUMPRODUCT(G718:G752,O718:O752)</f>
        <v>658174.6</v>
      </c>
      <c r="P753" s="1341"/>
      <c r="Q753" s="1341"/>
      <c r="R753" s="1341"/>
      <c r="S753" s="1342"/>
      <c r="T753"/>
      <c r="U753"/>
      <c r="V753"/>
      <c r="W753"/>
      <c r="X753" s="904" t="s">
        <v>900</v>
      </c>
      <c r="Y753" s="903"/>
      <c r="Z753" s="903"/>
      <c r="AA753" s="903"/>
      <c r="AB753" s="905"/>
      <c r="AC753" s="1613">
        <f>BH753</f>
        <v>0.6</v>
      </c>
      <c r="AD753" s="1614"/>
      <c r="AE753" s="1614"/>
      <c r="AF753" s="1614"/>
      <c r="AG753" s="1615"/>
      <c r="AH753" s="1613">
        <f>IFERROR(BU753,"")</f>
        <v>0.60000420500605978</v>
      </c>
      <c r="AI753" s="1614"/>
      <c r="AJ753" s="1615"/>
      <c r="AK753"/>
      <c r="AL753"/>
      <c r="AM753"/>
      <c r="AN753"/>
      <c r="AO753"/>
      <c r="AP753" s="205"/>
      <c r="AQ753" s="205"/>
      <c r="AR753" s="205"/>
      <c r="AS753" s="205"/>
      <c r="AT753"/>
      <c r="AU753"/>
      <c r="AV753"/>
      <c r="AW753"/>
      <c r="AX753"/>
      <c r="AY753"/>
      <c r="AZ753" s="34"/>
      <c r="BA753" s="34"/>
      <c r="BB753" s="34"/>
      <c r="BC753" s="34"/>
      <c r="BE753" s="290" t="s">
        <v>899</v>
      </c>
      <c r="BF753" s="299">
        <f>SUM(BF718:BF752)</f>
        <v>391</v>
      </c>
      <c r="BG753" s="300">
        <f>SUM(BG718:BG752)</f>
        <v>1</v>
      </c>
      <c r="BH753" s="300">
        <f>SUM(BH718:BH752)</f>
        <v>0.6</v>
      </c>
      <c r="BI753"/>
      <c r="BJ753"/>
      <c r="BK753"/>
      <c r="BL753"/>
      <c r="BO753"/>
      <c r="BP753"/>
      <c r="BQ753"/>
      <c r="BR753"/>
      <c r="BS753" s="859">
        <f>SUM(BS718:BS752)</f>
        <v>391</v>
      </c>
      <c r="BT753" s="300">
        <f>SUM(BT718:BT752)</f>
        <v>1</v>
      </c>
      <c r="BU753" s="300">
        <f>SUM(BU718:BU752)</f>
        <v>0.60000420500605978</v>
      </c>
      <c r="CI753" s="1456">
        <f>SUM(CI718:CJ752)</f>
        <v>36</v>
      </c>
      <c r="CJ753" s="1457"/>
      <c r="CM753" s="1456">
        <f>SUM(CM718:CN752)</f>
        <v>43</v>
      </c>
      <c r="CN753" s="1457"/>
      <c r="CP753" s="1456">
        <f>SUM(CP718:CT752)</f>
        <v>0</v>
      </c>
      <c r="CQ753" s="1463"/>
      <c r="CR753" s="1463"/>
      <c r="CS753" s="1463"/>
      <c r="CT753" s="1457"/>
      <c r="CU753" s="1453">
        <f>SUM(CU718:CY752)</f>
        <v>365</v>
      </c>
      <c r="CV753" s="1453"/>
      <c r="CW753" s="1453"/>
      <c r="CX753" s="1453"/>
      <c r="CY753" s="1453"/>
      <c r="CZ753" s="1453">
        <f>SUM(CZ718:DD752)</f>
        <v>26</v>
      </c>
      <c r="DA753" s="1453"/>
      <c r="DB753" s="1453"/>
      <c r="DC753" s="1453"/>
      <c r="DD753" s="1453"/>
      <c r="DE753" s="1453">
        <f>SUM(DE718:DI752)</f>
        <v>0</v>
      </c>
      <c r="DF753" s="1453"/>
      <c r="DG753" s="1453"/>
      <c r="DH753" s="1453"/>
      <c r="DI753" s="1453"/>
      <c r="DJ753" s="1453">
        <f>SUM(DJ718:DN752)</f>
        <v>0</v>
      </c>
      <c r="DK753" s="1453"/>
      <c r="DL753" s="1453"/>
      <c r="DM753" s="1453"/>
      <c r="DN753" s="1453"/>
      <c r="DO753" s="1453">
        <f>SUM(DO718:DS752)</f>
        <v>0</v>
      </c>
      <c r="DP753" s="1453"/>
      <c r="DQ753" s="1453"/>
      <c r="DR753" s="1453"/>
      <c r="DS753" s="1453"/>
      <c r="DT753" s="354"/>
      <c r="DU753" s="1453">
        <f>SUM(DU718:DY752)</f>
        <v>0</v>
      </c>
      <c r="DV753" s="1453"/>
      <c r="DW753" s="1453"/>
      <c r="DX753" s="1453"/>
      <c r="DY753" s="1453"/>
      <c r="DZ753" s="1453">
        <f>SUM(DZ718:ED752)</f>
        <v>43</v>
      </c>
      <c r="EA753" s="1453"/>
      <c r="EB753" s="1453"/>
      <c r="EC753" s="1453"/>
      <c r="ED753" s="1453"/>
      <c r="EE753" s="1453">
        <f>SUM(EE718:EI752)</f>
        <v>0</v>
      </c>
      <c r="EF753" s="1453"/>
      <c r="EG753" s="1453"/>
      <c r="EH753" s="1453"/>
      <c r="EI753" s="1453"/>
      <c r="EJ753" s="1453">
        <f>SUM(EJ718:EN752)</f>
        <v>0</v>
      </c>
      <c r="EK753" s="1453"/>
      <c r="EL753" s="1453"/>
      <c r="EM753" s="1453"/>
      <c r="EN753" s="1453"/>
      <c r="EO753" s="1453">
        <f>SUM(EO718:ES752)</f>
        <v>0</v>
      </c>
      <c r="EP753" s="1453"/>
      <c r="EQ753" s="1453"/>
      <c r="ER753" s="1453"/>
      <c r="ES753" s="1453"/>
      <c r="ET753" s="1453">
        <f>SUM(ET718:EX752)</f>
        <v>0</v>
      </c>
      <c r="EU753" s="1453"/>
      <c r="EV753" s="1453"/>
      <c r="EW753" s="1453"/>
      <c r="EX753" s="1453"/>
      <c r="EY753"/>
      <c r="EZ753" s="1453">
        <f>SUM(EZ718:FD752)</f>
        <v>0</v>
      </c>
      <c r="FA753" s="1453"/>
      <c r="FB753" s="1453"/>
      <c r="FC753" s="1453"/>
      <c r="FD753" s="1453"/>
      <c r="FE753" s="1453">
        <f>SUM(FE718:FI752)</f>
        <v>5792</v>
      </c>
      <c r="FF753" s="1453"/>
      <c r="FG753" s="1453"/>
      <c r="FH753" s="1453"/>
      <c r="FI753" s="1453"/>
      <c r="FJ753" s="1453">
        <f>SUM(FJ718:FN752)</f>
        <v>5963.6</v>
      </c>
      <c r="FK753" s="1453"/>
      <c r="FL753" s="1453"/>
      <c r="FM753" s="1453"/>
      <c r="FN753" s="1453"/>
      <c r="FO753" s="1453">
        <f>SUM(FO718:FS752)</f>
        <v>0</v>
      </c>
      <c r="FP753" s="1453"/>
      <c r="FQ753" s="1453"/>
      <c r="FR753" s="1453"/>
      <c r="FS753" s="1453"/>
      <c r="FT753" s="1453">
        <f>SUM(FT718:FX752)</f>
        <v>0</v>
      </c>
      <c r="FU753" s="1453"/>
      <c r="FV753" s="1453"/>
      <c r="FW753" s="1453"/>
      <c r="FX753" s="1453"/>
      <c r="FY753" s="1453">
        <f>SUM(FY718:GC752)</f>
        <v>0</v>
      </c>
      <c r="FZ753" s="1453"/>
      <c r="GA753" s="1453"/>
      <c r="GB753" s="1453"/>
      <c r="GC753" s="1453"/>
    </row>
    <row r="754" spans="1:185" s="3" customFormat="1" ht="12.95" customHeight="1">
      <c r="A754"/>
      <c r="B754" s="1599" t="s">
        <v>1893</v>
      </c>
      <c r="C754" s="1599"/>
      <c r="D754" s="1599"/>
      <c r="E754" s="1599"/>
      <c r="F754" s="1599"/>
      <c r="G754" s="1599"/>
      <c r="H754" s="1599"/>
      <c r="I754" s="1599"/>
      <c r="J754" s="1599"/>
      <c r="K754" s="1599"/>
      <c r="L754" s="1599"/>
      <c r="M754" s="1599"/>
      <c r="N754" s="1599"/>
      <c r="O754" s="1599"/>
      <c r="P754" s="1599"/>
      <c r="Q754" s="1599"/>
      <c r="R754" s="1599"/>
      <c r="S754" s="1599"/>
      <c r="T754" s="1599"/>
      <c r="U754" s="1599"/>
      <c r="V754" s="1599"/>
      <c r="W754" s="1599"/>
      <c r="X754" s="1599"/>
      <c r="Y754" s="1599"/>
      <c r="Z754" s="1599"/>
      <c r="AA754" s="1599"/>
      <c r="AB754" s="1599"/>
      <c r="AC754" s="1599"/>
      <c r="AD754" s="1599"/>
      <c r="AE754" s="1599"/>
      <c r="AF754" s="1599"/>
      <c r="AG754" s="1599"/>
      <c r="AH754" s="1599"/>
      <c r="AI754"/>
      <c r="AJ754"/>
      <c r="AK754"/>
      <c r="AT754"/>
      <c r="AU754"/>
      <c r="AV754"/>
      <c r="AW754"/>
      <c r="AX754"/>
      <c r="AY754"/>
      <c r="CD754"/>
      <c r="DN754" s="56" t="s">
        <v>1860</v>
      </c>
      <c r="DO754" s="1456">
        <f>CP753+CU753+CZ753+DE753+DJ753+DO753</f>
        <v>391</v>
      </c>
      <c r="DP754" s="1463"/>
      <c r="DQ754" s="1463"/>
      <c r="DR754" s="1463"/>
      <c r="DS754" s="1457"/>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599"/>
      <c r="C755" s="1599"/>
      <c r="D755" s="1599"/>
      <c r="E755" s="1599"/>
      <c r="F755" s="1599"/>
      <c r="G755" s="1599"/>
      <c r="H755" s="1599"/>
      <c r="I755" s="1599"/>
      <c r="J755" s="1599"/>
      <c r="K755" s="1599"/>
      <c r="L755" s="1599"/>
      <c r="M755" s="1599"/>
      <c r="N755" s="1599"/>
      <c r="O755" s="1599"/>
      <c r="P755" s="1599"/>
      <c r="Q755" s="1599"/>
      <c r="R755" s="1599"/>
      <c r="S755" s="1599"/>
      <c r="T755" s="1599"/>
      <c r="U755" s="1599"/>
      <c r="V755" s="1599"/>
      <c r="W755" s="1599"/>
      <c r="X755" s="1599"/>
      <c r="Y755" s="1599"/>
      <c r="Z755" s="1599"/>
      <c r="AA755" s="1599"/>
      <c r="AB755" s="1599"/>
      <c r="AC755" s="1599"/>
      <c r="AD755" s="1599"/>
      <c r="AE755" s="1599"/>
      <c r="AF755" s="1599"/>
      <c r="AG755" s="1599"/>
      <c r="AH755" s="159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365</v>
      </c>
      <c r="CZ755" s="3"/>
      <c r="DA755" s="3"/>
      <c r="DB755" s="3"/>
      <c r="DC755" s="3"/>
      <c r="DD755" s="861">
        <f>CZ753*2</f>
        <v>52</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417</v>
      </c>
      <c r="DV755" s="57" t="s">
        <v>1862</v>
      </c>
      <c r="DW755" s="3"/>
      <c r="DX755" s="3"/>
      <c r="DY755" s="3"/>
      <c r="DZ755" s="3"/>
      <c r="EA755" s="3"/>
      <c r="EB755" s="3"/>
      <c r="EC755" s="3"/>
      <c r="ED755" s="3"/>
      <c r="EE755" s="3"/>
      <c r="EF755" s="3"/>
      <c r="EG755" s="3"/>
      <c r="EH755" s="3"/>
    </row>
    <row r="756" spans="1:185" ht="12.95" customHeight="1">
      <c r="A756" s="3"/>
      <c r="B756" s="3"/>
      <c r="C756" s="118" t="s">
        <v>1891</v>
      </c>
      <c r="D756" s="1031"/>
      <c r="E756" s="1031"/>
      <c r="F756" s="1031"/>
      <c r="G756" s="1032"/>
      <c r="H756" s="1032"/>
      <c r="I756" s="1032"/>
      <c r="J756" s="1032"/>
      <c r="K756" s="1031"/>
      <c r="L756" s="1031"/>
      <c r="M756" s="1031"/>
      <c r="N756" s="1031"/>
      <c r="O756" s="1453">
        <f>DU755</f>
        <v>417</v>
      </c>
      <c r="P756" s="1453"/>
      <c r="Q756" s="1453"/>
      <c r="R756" s="1453"/>
      <c r="S756" s="968"/>
      <c r="T756" s="968"/>
      <c r="U756" s="118" t="s">
        <v>1892</v>
      </c>
      <c r="V756" s="1031"/>
      <c r="W756" s="1031"/>
      <c r="X756" s="1031"/>
      <c r="Y756" s="1032"/>
      <c r="Z756" s="1032"/>
      <c r="AA756" s="1032"/>
      <c r="AB756" s="1032"/>
      <c r="AC756" s="1031"/>
      <c r="AD756" s="1031"/>
      <c r="AE756" s="1031"/>
      <c r="AF756" s="1031"/>
      <c r="AG756" s="1604"/>
      <c r="AH756" s="1604"/>
      <c r="AI756" s="1604"/>
      <c r="AJ756" s="1604"/>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612" t="str">
        <f>IF(G753&lt;&gt;AG440,"! Total Low-Income Units in the Unit Mix Table above does not match the number of Total Low-Income Units on row #"&amp;TEXT(ROW(D440),"#"),"")</f>
        <v/>
      </c>
      <c r="D757" s="1612"/>
      <c r="E757" s="1612"/>
      <c r="F757" s="1612"/>
      <c r="G757" s="1612"/>
      <c r="H757" s="1612"/>
      <c r="I757" s="1612"/>
      <c r="J757" s="1612"/>
      <c r="K757" s="1612"/>
      <c r="L757" s="1612"/>
      <c r="M757" s="1612"/>
      <c r="N757" s="1612"/>
      <c r="O757" s="1612"/>
      <c r="P757" s="1612"/>
      <c r="Q757" s="1612"/>
      <c r="R757" s="1612"/>
      <c r="S757" s="1612"/>
      <c r="T757" s="1612"/>
      <c r="U757" s="1612"/>
      <c r="V757" s="1612"/>
      <c r="W757" s="1612"/>
      <c r="X757" s="1612"/>
      <c r="Y757" s="1612"/>
      <c r="Z757" s="1612"/>
      <c r="AA757" s="1612"/>
      <c r="AB757" s="1612"/>
      <c r="AC757" s="1612"/>
      <c r="AD757" s="1612"/>
      <c r="AE757" s="1612"/>
      <c r="AF757" s="1612"/>
      <c r="AG757" s="1612"/>
      <c r="AH757" s="1612"/>
      <c r="AI757" s="1612"/>
      <c r="AJ757" s="1612"/>
      <c r="AK757" s="1612"/>
      <c r="AL757" s="1612"/>
      <c r="AM757" s="1612"/>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612"/>
      <c r="D758" s="1612"/>
      <c r="E758" s="1612"/>
      <c r="F758" s="1612"/>
      <c r="G758" s="1612"/>
      <c r="H758" s="1612"/>
      <c r="I758" s="1612"/>
      <c r="J758" s="1612"/>
      <c r="K758" s="1612"/>
      <c r="L758" s="1612"/>
      <c r="M758" s="1612"/>
      <c r="N758" s="1612"/>
      <c r="O758" s="1612"/>
      <c r="P758" s="1612"/>
      <c r="Q758" s="1612"/>
      <c r="R758" s="1612"/>
      <c r="S758" s="1612"/>
      <c r="T758" s="1612"/>
      <c r="U758" s="1612"/>
      <c r="V758" s="1612"/>
      <c r="W758" s="1612"/>
      <c r="X758" s="1612"/>
      <c r="Y758" s="1612"/>
      <c r="Z758" s="1612"/>
      <c r="AA758" s="1612"/>
      <c r="AB758" s="1612"/>
      <c r="AC758" s="1612"/>
      <c r="AD758" s="1612"/>
      <c r="AE758" s="1612"/>
      <c r="AF758" s="1612"/>
      <c r="AG758" s="1612"/>
      <c r="AH758" s="1612"/>
      <c r="AI758" s="1612"/>
      <c r="AJ758" s="1612"/>
      <c r="AK758" s="1612"/>
      <c r="AL758" s="1612"/>
      <c r="AM758" s="1612"/>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1890</v>
      </c>
      <c r="D759" s="1033"/>
      <c r="E759" s="1033"/>
      <c r="F759" s="1033"/>
      <c r="G759" s="1033"/>
      <c r="H759" s="1033"/>
      <c r="I759" s="1033"/>
      <c r="J759" s="1033"/>
      <c r="K759" s="1033"/>
      <c r="L759" s="1033"/>
      <c r="M759" s="1033"/>
      <c r="N759" s="1033"/>
      <c r="O759" s="1033"/>
      <c r="P759" s="1033"/>
      <c r="Q759" s="1033"/>
      <c r="R759" s="1033"/>
      <c r="S759" s="1033"/>
      <c r="T759" s="1033"/>
      <c r="U759" s="1033"/>
      <c r="V759" s="1033"/>
      <c r="W759" s="1033"/>
      <c r="X759" s="1033"/>
      <c r="Y759" s="1033"/>
      <c r="Z759" s="1033"/>
      <c r="AA759" s="1033"/>
      <c r="AB759" s="1033"/>
      <c r="AC759" s="1033"/>
      <c r="AD759" s="1608" t="s">
        <v>591</v>
      </c>
      <c r="AE759" s="1608"/>
      <c r="AF759" s="1608"/>
      <c r="AG759" s="1033"/>
      <c r="AH759" s="1033"/>
      <c r="AI759" s="1033"/>
      <c r="AJ759" s="1033"/>
      <c r="AK759" s="1033"/>
      <c r="AL759" s="1033"/>
      <c r="AM759" s="1033"/>
      <c r="AN759" s="1033"/>
      <c r="AO759" s="1033"/>
      <c r="AP759" s="1033"/>
      <c r="AQ759" s="1033"/>
      <c r="AR759" s="103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4" t="s">
        <v>2088</v>
      </c>
      <c r="D760" s="1033"/>
      <c r="E760" s="1033"/>
      <c r="F760" s="1033"/>
      <c r="G760" s="1033"/>
      <c r="H760" s="1033"/>
      <c r="I760" s="1033"/>
      <c r="J760" s="1033"/>
      <c r="K760" s="1033"/>
      <c r="L760" s="1033"/>
      <c r="M760" s="1033"/>
      <c r="N760" s="1033"/>
      <c r="O760" s="1033"/>
      <c r="P760" s="1033"/>
      <c r="Q760" s="1033"/>
      <c r="R760" s="1033"/>
      <c r="S760" s="1033"/>
      <c r="T760" s="1033"/>
      <c r="U760" s="1033"/>
      <c r="V760" s="1033"/>
      <c r="W760" s="1033"/>
      <c r="X760" s="1033"/>
      <c r="Y760" s="1033"/>
      <c r="Z760" s="1033"/>
      <c r="AA760" s="1033"/>
      <c r="AB760" s="1033"/>
      <c r="AC760" s="1033"/>
      <c r="AD760" s="1033"/>
      <c r="AE760" s="1033"/>
      <c r="AF760" s="1033"/>
      <c r="AG760" s="1033"/>
      <c r="AH760" s="1033"/>
      <c r="AI760" s="1033"/>
      <c r="AJ760" s="1033"/>
      <c r="AK760" s="1033"/>
      <c r="AL760" s="1033"/>
      <c r="AM760" s="1033"/>
      <c r="AN760" s="1033"/>
      <c r="AO760" s="1033"/>
      <c r="AP760" s="1033"/>
      <c r="AQ760" s="1033"/>
      <c r="AR760" s="103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1"/>
      <c r="C762" s="118" t="s">
        <v>177</v>
      </c>
      <c r="D762" s="1031"/>
      <c r="E762" s="1031"/>
      <c r="F762" s="1031"/>
      <c r="G762" s="354"/>
      <c r="H762" s="354"/>
      <c r="I762" s="354"/>
      <c r="J762" s="354"/>
      <c r="K762" s="354"/>
      <c r="L762" s="1031"/>
      <c r="M762" s="1031"/>
      <c r="N762" s="1031"/>
      <c r="O762" s="1031"/>
      <c r="P762" s="1031"/>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1"/>
      <c r="C763" s="1266" t="s">
        <v>2089</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1"/>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1"/>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1"/>
      <c r="C766" s="1266" t="s">
        <v>2090</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1"/>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1"/>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56" t="s">
        <v>389</v>
      </c>
      <c r="K769" s="1357"/>
      <c r="L769" s="1357"/>
      <c r="M769" s="1357"/>
      <c r="N769" s="1358"/>
      <c r="O769" s="1598" t="s">
        <v>285</v>
      </c>
      <c r="P769" s="1598"/>
      <c r="Q769" s="1598"/>
      <c r="R769" s="1598"/>
      <c r="S769" s="1598"/>
      <c r="T769" s="1711" t="s">
        <v>1678</v>
      </c>
      <c r="U769" s="1712"/>
      <c r="V769" s="1712"/>
      <c r="W769" s="1713"/>
      <c r="X769" s="1356" t="s">
        <v>447</v>
      </c>
      <c r="Y769" s="1357"/>
      <c r="Z769" s="1357"/>
      <c r="AA769" s="1357"/>
      <c r="AB769" s="1358"/>
      <c r="AC769" s="1356" t="s">
        <v>286</v>
      </c>
      <c r="AD769" s="1357"/>
      <c r="AE769" s="1357"/>
      <c r="AF769" s="1357"/>
      <c r="AG769" s="135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59"/>
      <c r="K770" s="1360"/>
      <c r="L770" s="1360"/>
      <c r="M770" s="1360"/>
      <c r="N770" s="1361"/>
      <c r="O770" s="1598"/>
      <c r="P770" s="1598"/>
      <c r="Q770" s="1598"/>
      <c r="R770" s="1598"/>
      <c r="S770" s="1598"/>
      <c r="T770" s="1714"/>
      <c r="U770" s="1715"/>
      <c r="V770" s="1715"/>
      <c r="W770" s="1716"/>
      <c r="X770" s="1359"/>
      <c r="Y770" s="1360"/>
      <c r="Z770" s="1360"/>
      <c r="AA770" s="1360"/>
      <c r="AB770" s="1361"/>
      <c r="AC770" s="1359"/>
      <c r="AD770" s="1360"/>
      <c r="AE770" s="1360"/>
      <c r="AF770" s="1360"/>
      <c r="AG770" s="136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59"/>
      <c r="K771" s="1360"/>
      <c r="L771" s="1360"/>
      <c r="M771" s="1360"/>
      <c r="N771" s="1361"/>
      <c r="O771" s="1598"/>
      <c r="P771" s="1598"/>
      <c r="Q771" s="1598"/>
      <c r="R771" s="1598"/>
      <c r="S771" s="1598"/>
      <c r="T771" s="1714"/>
      <c r="U771" s="1715"/>
      <c r="V771" s="1715"/>
      <c r="W771" s="1716"/>
      <c r="X771" s="1359"/>
      <c r="Y771" s="1360"/>
      <c r="Z771" s="1360"/>
      <c r="AA771" s="1360"/>
      <c r="AB771" s="1361"/>
      <c r="AC771" s="1359"/>
      <c r="AD771" s="1360"/>
      <c r="AE771" s="1360"/>
      <c r="AF771" s="1360"/>
      <c r="AG771" s="136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2"/>
      <c r="K772" s="1363"/>
      <c r="L772" s="1363"/>
      <c r="M772" s="1363"/>
      <c r="N772" s="1364"/>
      <c r="O772" s="1598"/>
      <c r="P772" s="1598"/>
      <c r="Q772" s="1598"/>
      <c r="R772" s="1598"/>
      <c r="S772" s="1598"/>
      <c r="T772" s="1717"/>
      <c r="U772" s="1718"/>
      <c r="V772" s="1718"/>
      <c r="W772" s="1719"/>
      <c r="X772" s="1362"/>
      <c r="Y772" s="1363"/>
      <c r="Z772" s="1363"/>
      <c r="AA772" s="1363"/>
      <c r="AB772" s="1364"/>
      <c r="AC772" s="1362"/>
      <c r="AD772" s="1363"/>
      <c r="AE772" s="1363"/>
      <c r="AF772" s="1363"/>
      <c r="AG772" s="136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65" t="s">
        <v>163</v>
      </c>
      <c r="K773" s="1366"/>
      <c r="L773" s="1366"/>
      <c r="M773" s="1366"/>
      <c r="N773" s="1367"/>
      <c r="O773" s="1548">
        <v>4</v>
      </c>
      <c r="P773" s="1548"/>
      <c r="Q773" s="1548"/>
      <c r="R773" s="1548"/>
      <c r="S773" s="1548"/>
      <c r="T773" s="1350">
        <v>690</v>
      </c>
      <c r="U773" s="1351"/>
      <c r="V773" s="1351"/>
      <c r="W773" s="1352"/>
      <c r="X773" s="1343">
        <v>3350</v>
      </c>
      <c r="Y773" s="1344"/>
      <c r="Z773" s="1344"/>
      <c r="AA773" s="1344"/>
      <c r="AB773" s="1345"/>
      <c r="AC773" s="1340">
        <f>X773*O773</f>
        <v>13400</v>
      </c>
      <c r="AD773" s="1341"/>
      <c r="AE773" s="1341"/>
      <c r="AF773" s="1341"/>
      <c r="AG773" s="1342"/>
      <c r="AH773" s="1020"/>
      <c r="AI773" s="116"/>
      <c r="AJ773" s="116"/>
      <c r="AK773" s="1020"/>
      <c r="AL773" s="102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8">
        <f>IF(J773="SRO/Studio",O773,0)</f>
        <v>0</v>
      </c>
      <c r="CQ773" s="1459"/>
      <c r="CR773" s="1459"/>
      <c r="CS773" s="1459"/>
      <c r="CT773" s="1460"/>
      <c r="CU773" s="1452">
        <f>IF(J773="1 Bedroom",O773,0)</f>
        <v>0</v>
      </c>
      <c r="CV773" s="1452"/>
      <c r="CW773" s="1452"/>
      <c r="CX773" s="1452"/>
      <c r="CY773" s="1452"/>
      <c r="CZ773" s="1452">
        <f>IF(J773="2 Bedrooms",O773,0)</f>
        <v>4</v>
      </c>
      <c r="DA773" s="1452"/>
      <c r="DB773" s="1452"/>
      <c r="DC773" s="1452"/>
      <c r="DD773" s="1452"/>
      <c r="DE773" s="1452">
        <f>IF(J773="3 Bedrooms",O773,0)</f>
        <v>0</v>
      </c>
      <c r="DF773" s="1452"/>
      <c r="DG773" s="1452"/>
      <c r="DH773" s="1452"/>
      <c r="DI773" s="1452"/>
      <c r="DJ773" s="1452">
        <f>IF(J773="4 Bedrooms",O773,0)</f>
        <v>0</v>
      </c>
      <c r="DK773" s="1452"/>
      <c r="DL773" s="1452"/>
      <c r="DM773" s="1452"/>
      <c r="DN773" s="1452"/>
      <c r="DO773" s="1452">
        <f>IF(J773="5 Bedrooms",O773,0)</f>
        <v>0</v>
      </c>
      <c r="DP773" s="1452"/>
      <c r="DQ773" s="1452"/>
      <c r="DR773" s="1452"/>
      <c r="DS773" s="1452"/>
      <c r="DT773" s="6"/>
      <c r="DU773" s="3"/>
      <c r="DV773" s="3"/>
    </row>
    <row r="774" spans="1:126" ht="12.95" customHeight="1">
      <c r="J774" s="1365"/>
      <c r="K774" s="1366"/>
      <c r="L774" s="1366"/>
      <c r="M774" s="1366"/>
      <c r="N774" s="1367"/>
      <c r="O774" s="1548"/>
      <c r="P774" s="1548"/>
      <c r="Q774" s="1548"/>
      <c r="R774" s="1548"/>
      <c r="S774" s="1548"/>
      <c r="T774" s="1350"/>
      <c r="U774" s="1351"/>
      <c r="V774" s="1351"/>
      <c r="W774" s="1352"/>
      <c r="X774" s="1343"/>
      <c r="Y774" s="1344"/>
      <c r="Z774" s="1344"/>
      <c r="AA774" s="1344"/>
      <c r="AB774" s="1345"/>
      <c r="AC774" s="1340">
        <f>X774*O774</f>
        <v>0</v>
      </c>
      <c r="AD774" s="1341"/>
      <c r="AE774" s="1341"/>
      <c r="AF774" s="1341"/>
      <c r="AG774" s="1342"/>
      <c r="AH774" s="1020"/>
      <c r="AI774" s="1020"/>
      <c r="AJ774" s="1020"/>
      <c r="AK774" s="1020"/>
      <c r="AL774" s="102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8">
        <f>IF(J774="SRO/Studio",O774,0)</f>
        <v>0</v>
      </c>
      <c r="CQ774" s="1459"/>
      <c r="CR774" s="1459"/>
      <c r="CS774" s="1459"/>
      <c r="CT774" s="1460"/>
      <c r="CU774" s="1452">
        <f>IF(J774="1 Bedroom",O774,0)</f>
        <v>0</v>
      </c>
      <c r="CV774" s="1452"/>
      <c r="CW774" s="1452"/>
      <c r="CX774" s="1452"/>
      <c r="CY774" s="1452"/>
      <c r="CZ774" s="1452">
        <f>IF(J774="2 Bedrooms",O774,0)</f>
        <v>0</v>
      </c>
      <c r="DA774" s="1452"/>
      <c r="DB774" s="1452"/>
      <c r="DC774" s="1452"/>
      <c r="DD774" s="1452"/>
      <c r="DE774" s="1452">
        <f>IF(J774="3 Bedrooms",O774,0)</f>
        <v>0</v>
      </c>
      <c r="DF774" s="1452"/>
      <c r="DG774" s="1452"/>
      <c r="DH774" s="1452"/>
      <c r="DI774" s="1452"/>
      <c r="DJ774" s="1452">
        <f>IF(J774="4 Bedrooms",O774,0)</f>
        <v>0</v>
      </c>
      <c r="DK774" s="1452"/>
      <c r="DL774" s="1452"/>
      <c r="DM774" s="1452"/>
      <c r="DN774" s="1452"/>
      <c r="DO774" s="1452">
        <f>IF(J774="5 Bedrooms",O774,0)</f>
        <v>0</v>
      </c>
      <c r="DP774" s="1452"/>
      <c r="DQ774" s="1452"/>
      <c r="DR774" s="1452"/>
      <c r="DS774" s="1452"/>
      <c r="DT774" s="6"/>
      <c r="DU774" s="3"/>
      <c r="DV774" s="3"/>
    </row>
    <row r="775" spans="1:126" ht="12.95" customHeight="1">
      <c r="J775" s="1365"/>
      <c r="K775" s="1366"/>
      <c r="L775" s="1366"/>
      <c r="M775" s="1366"/>
      <c r="N775" s="1367"/>
      <c r="O775" s="1548"/>
      <c r="P775" s="1548"/>
      <c r="Q775" s="1548"/>
      <c r="R775" s="1548"/>
      <c r="S775" s="1548"/>
      <c r="T775" s="1350"/>
      <c r="U775" s="1351"/>
      <c r="V775" s="1351"/>
      <c r="W775" s="1352"/>
      <c r="X775" s="1343"/>
      <c r="Y775" s="1344"/>
      <c r="Z775" s="1344"/>
      <c r="AA775" s="1344"/>
      <c r="AB775" s="1345"/>
      <c r="AC775" s="1340">
        <f>X775*O775</f>
        <v>0</v>
      </c>
      <c r="AD775" s="1341"/>
      <c r="AE775" s="1341"/>
      <c r="AF775" s="1341"/>
      <c r="AG775" s="1342"/>
      <c r="AH775" s="1020"/>
      <c r="AI775" s="1020"/>
      <c r="AJ775" s="1020"/>
      <c r="AK775" s="1020"/>
      <c r="AL775" s="1020"/>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8">
        <f>IF(J775="SRO/Studio",O775,0)</f>
        <v>0</v>
      </c>
      <c r="CQ775" s="1459"/>
      <c r="CR775" s="1459"/>
      <c r="CS775" s="1459"/>
      <c r="CT775" s="1460"/>
      <c r="CU775" s="1452">
        <f>IF(J775="1 Bedroom",O775,0)</f>
        <v>0</v>
      </c>
      <c r="CV775" s="1452"/>
      <c r="CW775" s="1452"/>
      <c r="CX775" s="1452"/>
      <c r="CY775" s="1452"/>
      <c r="CZ775" s="1452">
        <f>IF(J775="2 Bedrooms",O775,0)</f>
        <v>0</v>
      </c>
      <c r="DA775" s="1452"/>
      <c r="DB775" s="1452"/>
      <c r="DC775" s="1452"/>
      <c r="DD775" s="1452"/>
      <c r="DE775" s="1452">
        <f>IF(J775="3 Bedrooms",O775,0)</f>
        <v>0</v>
      </c>
      <c r="DF775" s="1452"/>
      <c r="DG775" s="1452"/>
      <c r="DH775" s="1452"/>
      <c r="DI775" s="1452"/>
      <c r="DJ775" s="1452">
        <f>IF(J775="4 Bedrooms",O775,0)</f>
        <v>0</v>
      </c>
      <c r="DK775" s="1452"/>
      <c r="DL775" s="1452"/>
      <c r="DM775" s="1452"/>
      <c r="DN775" s="1452"/>
      <c r="DO775" s="1452">
        <f>IF(J775="5 Bedrooms",O775,0)</f>
        <v>0</v>
      </c>
      <c r="DP775" s="1452"/>
      <c r="DQ775" s="1452"/>
      <c r="DR775" s="1452"/>
      <c r="DS775" s="1452"/>
      <c r="DT775" s="1011"/>
    </row>
    <row r="776" spans="1:126" ht="12.95" customHeight="1">
      <c r="J776" s="1365"/>
      <c r="K776" s="1366"/>
      <c r="L776" s="1366"/>
      <c r="M776" s="1366"/>
      <c r="N776" s="1367"/>
      <c r="O776" s="1548"/>
      <c r="P776" s="1548"/>
      <c r="Q776" s="1548"/>
      <c r="R776" s="1548"/>
      <c r="S776" s="1548"/>
      <c r="T776" s="1350"/>
      <c r="U776" s="1351"/>
      <c r="V776" s="1351"/>
      <c r="W776" s="1352"/>
      <c r="X776" s="1343"/>
      <c r="Y776" s="1344"/>
      <c r="Z776" s="1344"/>
      <c r="AA776" s="1344"/>
      <c r="AB776" s="1345"/>
      <c r="AC776" s="1340">
        <f>X776*O776</f>
        <v>0</v>
      </c>
      <c r="AD776" s="1341"/>
      <c r="AE776" s="1341"/>
      <c r="AF776" s="1341"/>
      <c r="AG776" s="1342"/>
      <c r="AH776" s="1020"/>
      <c r="AI776" s="1020"/>
      <c r="AJ776" s="1020"/>
      <c r="AK776" s="1020"/>
      <c r="AL776" s="102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8">
        <f>IF(J776="SRO/Studio",O776,0)</f>
        <v>0</v>
      </c>
      <c r="CQ776" s="1459"/>
      <c r="CR776" s="1459"/>
      <c r="CS776" s="1459"/>
      <c r="CT776" s="1460"/>
      <c r="CU776" s="1452">
        <f>IF(J776="1 Bedroom",O776,0)</f>
        <v>0</v>
      </c>
      <c r="CV776" s="1452"/>
      <c r="CW776" s="1452"/>
      <c r="CX776" s="1452"/>
      <c r="CY776" s="1452"/>
      <c r="CZ776" s="1452">
        <f>IF(J776="2 Bedrooms",O776,0)</f>
        <v>0</v>
      </c>
      <c r="DA776" s="1452"/>
      <c r="DB776" s="1452"/>
      <c r="DC776" s="1452"/>
      <c r="DD776" s="1452"/>
      <c r="DE776" s="1452">
        <f>IF(J776="3 Bedrooms",O776,0)</f>
        <v>0</v>
      </c>
      <c r="DF776" s="1452"/>
      <c r="DG776" s="1452"/>
      <c r="DH776" s="1452"/>
      <c r="DI776" s="1452"/>
      <c r="DJ776" s="1452">
        <f>IF(J776="4 Bedrooms",O776,0)</f>
        <v>0</v>
      </c>
      <c r="DK776" s="1452"/>
      <c r="DL776" s="1452"/>
      <c r="DM776" s="1452"/>
      <c r="DN776" s="1452"/>
      <c r="DO776" s="1452">
        <f>IF(J776="5 Bedrooms",O776,0)</f>
        <v>0</v>
      </c>
      <c r="DP776" s="1452"/>
      <c r="DQ776" s="1452"/>
      <c r="DR776" s="1452"/>
      <c r="DS776" s="1452"/>
    </row>
    <row r="777" spans="1:126" ht="12.95" customHeight="1">
      <c r="J777" s="1609" t="s">
        <v>125</v>
      </c>
      <c r="K777" s="1610"/>
      <c r="L777" s="1610"/>
      <c r="M777" s="1610"/>
      <c r="N777" s="1611"/>
      <c r="O777" s="1461">
        <f>SUM(O773:S776)</f>
        <v>4</v>
      </c>
      <c r="P777" s="1721"/>
      <c r="Q777" s="1721"/>
      <c r="R777" s="1721"/>
      <c r="S777" s="1462"/>
      <c r="X777" s="1609" t="s">
        <v>124</v>
      </c>
      <c r="Y777" s="1610"/>
      <c r="Z777" s="1610"/>
      <c r="AA777" s="1610"/>
      <c r="AB777" s="1611"/>
      <c r="AC777" s="1340">
        <f>SUM(AC773:AG776)</f>
        <v>13400</v>
      </c>
      <c r="AD777" s="1341"/>
      <c r="AE777" s="1341"/>
      <c r="AF777" s="1341"/>
      <c r="AG777" s="1342"/>
      <c r="AI777" s="1020"/>
      <c r="AJ777" s="102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1">
        <f>SUM(CP773:CT776)</f>
        <v>0</v>
      </c>
      <c r="CQ777" s="1721"/>
      <c r="CR777" s="1721"/>
      <c r="CS777" s="1721"/>
      <c r="CT777" s="1462"/>
      <c r="CU777" s="1464">
        <f>SUM(CU773:CY776)</f>
        <v>0</v>
      </c>
      <c r="CV777" s="1465"/>
      <c r="CW777" s="1465"/>
      <c r="CX777" s="1465"/>
      <c r="CY777" s="1466"/>
      <c r="CZ777" s="1464">
        <f>SUM(CZ773:DD776)</f>
        <v>4</v>
      </c>
      <c r="DA777" s="1465"/>
      <c r="DB777" s="1465"/>
      <c r="DC777" s="1465"/>
      <c r="DD777" s="1466"/>
      <c r="DE777" s="1464">
        <f>SUM(DE773:DI776)</f>
        <v>0</v>
      </c>
      <c r="DF777" s="1465"/>
      <c r="DG777" s="1465"/>
      <c r="DH777" s="1465"/>
      <c r="DI777" s="1466"/>
      <c r="DJ777" s="1464">
        <f>SUM(DJ773:DN776)</f>
        <v>0</v>
      </c>
      <c r="DK777" s="1465"/>
      <c r="DL777" s="1465"/>
      <c r="DM777" s="1465"/>
      <c r="DN777" s="1466"/>
      <c r="DO777" s="1464">
        <f>SUM(DO773:DS776)</f>
        <v>0</v>
      </c>
      <c r="DP777" s="1465"/>
      <c r="DQ777" s="1465"/>
      <c r="DR777" s="1465"/>
      <c r="DS777" s="1466"/>
      <c r="DU777" s="861">
        <f>CP777+CU777+CZ777+DE777+DJ777+DO777</f>
        <v>4</v>
      </c>
      <c r="DV777" s="57" t="s">
        <v>1859</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8</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8</v>
      </c>
      <c r="DV778" s="57" t="s">
        <v>1861</v>
      </c>
    </row>
    <row r="779" spans="1:126" ht="12.95" customHeight="1">
      <c r="B779" s="56"/>
      <c r="C779" s="56"/>
      <c r="D779" s="56"/>
      <c r="E779" s="56"/>
      <c r="F779" s="56"/>
      <c r="G779" s="6"/>
      <c r="H779" s="6"/>
      <c r="I779" s="6"/>
      <c r="J779" s="1727" t="s">
        <v>669</v>
      </c>
      <c r="K779" s="1727"/>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56" t="s">
        <v>389</v>
      </c>
      <c r="K783" s="1357"/>
      <c r="L783" s="1357"/>
      <c r="M783" s="1357"/>
      <c r="N783" s="1358"/>
      <c r="O783" s="1598" t="s">
        <v>285</v>
      </c>
      <c r="P783" s="1598"/>
      <c r="Q783" s="1598"/>
      <c r="R783" s="1598"/>
      <c r="S783" s="1598"/>
      <c r="T783" s="1711" t="s">
        <v>1678</v>
      </c>
      <c r="U783" s="1712"/>
      <c r="V783" s="1712"/>
      <c r="W783" s="1713"/>
      <c r="X783" s="1356" t="s">
        <v>447</v>
      </c>
      <c r="Y783" s="1357"/>
      <c r="Z783" s="1357"/>
      <c r="AA783" s="1357"/>
      <c r="AB783" s="1358"/>
      <c r="AC783" s="1356" t="s">
        <v>286</v>
      </c>
      <c r="AD783" s="1357"/>
      <c r="AE783" s="1357"/>
      <c r="AF783" s="1357"/>
      <c r="AG783" s="135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59"/>
      <c r="K784" s="1360"/>
      <c r="L784" s="1360"/>
      <c r="M784" s="1360"/>
      <c r="N784" s="1361"/>
      <c r="O784" s="1598"/>
      <c r="P784" s="1598"/>
      <c r="Q784" s="1598"/>
      <c r="R784" s="1598"/>
      <c r="S784" s="1598"/>
      <c r="T784" s="1714"/>
      <c r="U784" s="1715"/>
      <c r="V784" s="1715"/>
      <c r="W784" s="1716"/>
      <c r="X784" s="1359"/>
      <c r="Y784" s="1360"/>
      <c r="Z784" s="1360"/>
      <c r="AA784" s="1360"/>
      <c r="AB784" s="1361"/>
      <c r="AC784" s="1359"/>
      <c r="AD784" s="1360"/>
      <c r="AE784" s="1360"/>
      <c r="AF784" s="1360"/>
      <c r="AG784" s="136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59"/>
      <c r="K785" s="1360"/>
      <c r="L785" s="1360"/>
      <c r="M785" s="1360"/>
      <c r="N785" s="1361"/>
      <c r="O785" s="1598"/>
      <c r="P785" s="1598"/>
      <c r="Q785" s="1598"/>
      <c r="R785" s="1598"/>
      <c r="S785" s="1598"/>
      <c r="T785" s="1714"/>
      <c r="U785" s="1715"/>
      <c r="V785" s="1715"/>
      <c r="W785" s="1716"/>
      <c r="X785" s="1359"/>
      <c r="Y785" s="1360"/>
      <c r="Z785" s="1360"/>
      <c r="AA785" s="1360"/>
      <c r="AB785" s="1361"/>
      <c r="AC785" s="1359"/>
      <c r="AD785" s="1360"/>
      <c r="AE785" s="1360"/>
      <c r="AF785" s="1360"/>
      <c r="AG785" s="136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2"/>
      <c r="K786" s="1363"/>
      <c r="L786" s="1363"/>
      <c r="M786" s="1363"/>
      <c r="N786" s="1364"/>
      <c r="O786" s="1598"/>
      <c r="P786" s="1598"/>
      <c r="Q786" s="1598"/>
      <c r="R786" s="1598"/>
      <c r="S786" s="1598"/>
      <c r="T786" s="1717"/>
      <c r="U786" s="1718"/>
      <c r="V786" s="1718"/>
      <c r="W786" s="1719"/>
      <c r="X786" s="1362"/>
      <c r="Y786" s="1363"/>
      <c r="Z786" s="1363"/>
      <c r="AA786" s="1363"/>
      <c r="AB786" s="1364"/>
      <c r="AC786" s="1362"/>
      <c r="AD786" s="1363"/>
      <c r="AE786" s="1363"/>
      <c r="AF786" s="1363"/>
      <c r="AG786" s="136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2.95" customHeight="1">
      <c r="J787" s="1365"/>
      <c r="K787" s="1366"/>
      <c r="L787" s="1366"/>
      <c r="M787" s="1366"/>
      <c r="N787" s="1367"/>
      <c r="O787" s="1548"/>
      <c r="P787" s="1548"/>
      <c r="Q787" s="1548"/>
      <c r="R787" s="1548"/>
      <c r="S787" s="1548"/>
      <c r="T787" s="1350"/>
      <c r="U787" s="1351"/>
      <c r="V787" s="1351"/>
      <c r="W787" s="1352"/>
      <c r="X787" s="1343"/>
      <c r="Y787" s="1344"/>
      <c r="Z787" s="1344"/>
      <c r="AA787" s="1344"/>
      <c r="AB787" s="1345"/>
      <c r="AC787" s="1340">
        <f t="shared" ref="AC787:AC796" si="40">X787*O787</f>
        <v>0</v>
      </c>
      <c r="AD787" s="1341"/>
      <c r="AE787" s="1341"/>
      <c r="AF787" s="1341"/>
      <c r="AG787" s="134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8">
        <f t="shared" ref="CP787:CP796" si="41">IF(J787="SRO/Studio",O787,0)</f>
        <v>0</v>
      </c>
      <c r="CQ787" s="1459"/>
      <c r="CR787" s="1459"/>
      <c r="CS787" s="1459"/>
      <c r="CT787" s="1460"/>
      <c r="CU787" s="1458">
        <f t="shared" ref="CU787:CU796" si="42">IF(J787="1 Bedroom",O787,0)</f>
        <v>0</v>
      </c>
      <c r="CV787" s="1459"/>
      <c r="CW787" s="1459"/>
      <c r="CX787" s="1459"/>
      <c r="CY787" s="1460"/>
      <c r="CZ787" s="1458">
        <f t="shared" ref="CZ787:CZ796" si="43">IF(J787="2 Bedrooms",O787,0)</f>
        <v>0</v>
      </c>
      <c r="DA787" s="1459"/>
      <c r="DB787" s="1459"/>
      <c r="DC787" s="1459"/>
      <c r="DD787" s="1460"/>
      <c r="DE787" s="1458">
        <f t="shared" ref="DE787:DE796" si="44">IF(J787="3 Bedrooms",O787,0)</f>
        <v>0</v>
      </c>
      <c r="DF787" s="1459"/>
      <c r="DG787" s="1459"/>
      <c r="DH787" s="1459"/>
      <c r="DI787" s="1460"/>
      <c r="DJ787" s="1458">
        <f t="shared" ref="DJ787:DJ796" si="45">IF(J787="4 Bedrooms",O787,0)</f>
        <v>0</v>
      </c>
      <c r="DK787" s="1459"/>
      <c r="DL787" s="1459"/>
      <c r="DM787" s="1459"/>
      <c r="DN787" s="1460"/>
      <c r="DO787" s="1458">
        <f t="shared" ref="DO787:DO796" si="46">IF(J787="5 Bedrooms",O787,0)</f>
        <v>0</v>
      </c>
      <c r="DP787" s="1459"/>
      <c r="DQ787" s="1459"/>
      <c r="DR787" s="1459"/>
      <c r="DS787" s="1460"/>
      <c r="DT787" s="6"/>
      <c r="DU787" s="1458">
        <f t="shared" ref="DU787:DU796" si="47">IF(AND(CP787&gt;=1,AH787&gt;=0.1,AH787&lt;=1),O787,0)</f>
        <v>0</v>
      </c>
      <c r="DV787" s="1459"/>
      <c r="DW787" s="1459"/>
      <c r="DX787" s="1459"/>
      <c r="DY787" s="1460"/>
      <c r="DZ787" s="1458">
        <f t="shared" ref="DZ787:DZ796" si="48">IF(AND(CU787&gt;=1,AH787&gt;=0.1,AH787&lt;=1),O787,0)</f>
        <v>0</v>
      </c>
      <c r="EA787" s="1459"/>
      <c r="EB787" s="1459"/>
      <c r="EC787" s="1459"/>
      <c r="ED787" s="1460"/>
      <c r="EE787" s="1458">
        <f t="shared" ref="EE787:EE796" si="49">IF(AND(CZ787&gt;=1,AH787&gt;=0.1,AH787&lt;=1),O787,0)</f>
        <v>0</v>
      </c>
      <c r="EF787" s="1459"/>
      <c r="EG787" s="1459"/>
      <c r="EH787" s="1459"/>
      <c r="EI787" s="1460"/>
      <c r="EJ787" s="1458">
        <f t="shared" ref="EJ787:EJ796" si="50">IF(AND(DE787&gt;=1,AH787&gt;=0.1,AH787&lt;=1),O787,0)</f>
        <v>0</v>
      </c>
      <c r="EK787" s="1459"/>
      <c r="EL787" s="1459"/>
      <c r="EM787" s="1459"/>
      <c r="EN787" s="1460"/>
      <c r="EO787" s="1458">
        <f t="shared" ref="EO787:EO796" si="51">IF(AND(DJ787&gt;=1,AH787&gt;=0.1,AH787&lt;=1),O787,0)</f>
        <v>0</v>
      </c>
      <c r="EP787" s="1459"/>
      <c r="EQ787" s="1459"/>
      <c r="ER787" s="1459"/>
      <c r="ES787" s="1460"/>
      <c r="ET787" s="1458">
        <f t="shared" ref="ET787:ET796" si="52">IF(AND(DO787&gt;=1,AH787&gt;=0.1,AH787&lt;=1),O787,0)</f>
        <v>0</v>
      </c>
      <c r="EU787" s="1459"/>
      <c r="EV787" s="1459"/>
      <c r="EW787" s="1459"/>
      <c r="EX787" s="1460"/>
    </row>
    <row r="788" spans="1:154" s="14" customFormat="1" ht="12.95" customHeight="1">
      <c r="A788"/>
      <c r="B788"/>
      <c r="C788"/>
      <c r="D788"/>
      <c r="E788"/>
      <c r="F788"/>
      <c r="G788"/>
      <c r="H788"/>
      <c r="I788"/>
      <c r="J788" s="1365"/>
      <c r="K788" s="1366"/>
      <c r="L788" s="1366"/>
      <c r="M788" s="1366"/>
      <c r="N788" s="1367"/>
      <c r="O788" s="1548"/>
      <c r="P788" s="1548"/>
      <c r="Q788" s="1548"/>
      <c r="R788" s="1548"/>
      <c r="S788" s="1548"/>
      <c r="T788" s="1350"/>
      <c r="U788" s="1351"/>
      <c r="V788" s="1351"/>
      <c r="W788" s="1352"/>
      <c r="X788" s="1343"/>
      <c r="Y788" s="1344"/>
      <c r="Z788" s="1344"/>
      <c r="AA788" s="1344"/>
      <c r="AB788" s="1345"/>
      <c r="AC788" s="1340">
        <f t="shared" si="40"/>
        <v>0</v>
      </c>
      <c r="AD788" s="1341"/>
      <c r="AE788" s="1341"/>
      <c r="AF788" s="1341"/>
      <c r="AG788" s="134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8">
        <f t="shared" si="41"/>
        <v>0</v>
      </c>
      <c r="CQ788" s="1459"/>
      <c r="CR788" s="1459"/>
      <c r="CS788" s="1459"/>
      <c r="CT788" s="1460"/>
      <c r="CU788" s="1458">
        <f t="shared" si="42"/>
        <v>0</v>
      </c>
      <c r="CV788" s="1459"/>
      <c r="CW788" s="1459"/>
      <c r="CX788" s="1459"/>
      <c r="CY788" s="1460"/>
      <c r="CZ788" s="1458">
        <f t="shared" si="43"/>
        <v>0</v>
      </c>
      <c r="DA788" s="1459"/>
      <c r="DB788" s="1459"/>
      <c r="DC788" s="1459"/>
      <c r="DD788" s="1460"/>
      <c r="DE788" s="1458">
        <f t="shared" si="44"/>
        <v>0</v>
      </c>
      <c r="DF788" s="1459"/>
      <c r="DG788" s="1459"/>
      <c r="DH788" s="1459"/>
      <c r="DI788" s="1460"/>
      <c r="DJ788" s="1458">
        <f t="shared" si="45"/>
        <v>0</v>
      </c>
      <c r="DK788" s="1459"/>
      <c r="DL788" s="1459"/>
      <c r="DM788" s="1459"/>
      <c r="DN788" s="1460"/>
      <c r="DO788" s="1458">
        <f t="shared" si="46"/>
        <v>0</v>
      </c>
      <c r="DP788" s="1459"/>
      <c r="DQ788" s="1459"/>
      <c r="DR788" s="1459"/>
      <c r="DS788" s="1460"/>
      <c r="DT788" s="6"/>
      <c r="DU788" s="1458">
        <f t="shared" si="47"/>
        <v>0</v>
      </c>
      <c r="DV788" s="1459"/>
      <c r="DW788" s="1459"/>
      <c r="DX788" s="1459"/>
      <c r="DY788" s="1460"/>
      <c r="DZ788" s="1458">
        <f t="shared" si="48"/>
        <v>0</v>
      </c>
      <c r="EA788" s="1459"/>
      <c r="EB788" s="1459"/>
      <c r="EC788" s="1459"/>
      <c r="ED788" s="1460"/>
      <c r="EE788" s="1458">
        <f t="shared" si="49"/>
        <v>0</v>
      </c>
      <c r="EF788" s="1459"/>
      <c r="EG788" s="1459"/>
      <c r="EH788" s="1459"/>
      <c r="EI788" s="1460"/>
      <c r="EJ788" s="1458">
        <f t="shared" si="50"/>
        <v>0</v>
      </c>
      <c r="EK788" s="1459"/>
      <c r="EL788" s="1459"/>
      <c r="EM788" s="1459"/>
      <c r="EN788" s="1460"/>
      <c r="EO788" s="1458">
        <f t="shared" si="51"/>
        <v>0</v>
      </c>
      <c r="EP788" s="1459"/>
      <c r="EQ788" s="1459"/>
      <c r="ER788" s="1459"/>
      <c r="ES788" s="1460"/>
      <c r="ET788" s="1458">
        <f t="shared" si="52"/>
        <v>0</v>
      </c>
      <c r="EU788" s="1459"/>
      <c r="EV788" s="1459"/>
      <c r="EW788" s="1459"/>
      <c r="EX788" s="1460"/>
    </row>
    <row r="789" spans="1:154" s="14" customFormat="1" ht="12.95" customHeight="1">
      <c r="A789"/>
      <c r="B789"/>
      <c r="C789"/>
      <c r="D789"/>
      <c r="E789"/>
      <c r="F789"/>
      <c r="G789"/>
      <c r="H789"/>
      <c r="I789"/>
      <c r="J789" s="1365"/>
      <c r="K789" s="1366"/>
      <c r="L789" s="1366"/>
      <c r="M789" s="1366"/>
      <c r="N789" s="1367"/>
      <c r="O789" s="1548"/>
      <c r="P789" s="1548"/>
      <c r="Q789" s="1548"/>
      <c r="R789" s="1548"/>
      <c r="S789" s="1548"/>
      <c r="T789" s="1350"/>
      <c r="U789" s="1351"/>
      <c r="V789" s="1351"/>
      <c r="W789" s="1352"/>
      <c r="X789" s="1343"/>
      <c r="Y789" s="1344"/>
      <c r="Z789" s="1344"/>
      <c r="AA789" s="1344"/>
      <c r="AB789" s="1345"/>
      <c r="AC789" s="1340">
        <f t="shared" si="40"/>
        <v>0</v>
      </c>
      <c r="AD789" s="1341"/>
      <c r="AE789" s="1341"/>
      <c r="AF789" s="1341"/>
      <c r="AG789" s="134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8">
        <f t="shared" si="41"/>
        <v>0</v>
      </c>
      <c r="CQ789" s="1459"/>
      <c r="CR789" s="1459"/>
      <c r="CS789" s="1459"/>
      <c r="CT789" s="1460"/>
      <c r="CU789" s="1458">
        <f t="shared" si="42"/>
        <v>0</v>
      </c>
      <c r="CV789" s="1459"/>
      <c r="CW789" s="1459"/>
      <c r="CX789" s="1459"/>
      <c r="CY789" s="1460"/>
      <c r="CZ789" s="1458">
        <f t="shared" si="43"/>
        <v>0</v>
      </c>
      <c r="DA789" s="1459"/>
      <c r="DB789" s="1459"/>
      <c r="DC789" s="1459"/>
      <c r="DD789" s="1460"/>
      <c r="DE789" s="1458">
        <f t="shared" si="44"/>
        <v>0</v>
      </c>
      <c r="DF789" s="1459"/>
      <c r="DG789" s="1459"/>
      <c r="DH789" s="1459"/>
      <c r="DI789" s="1460"/>
      <c r="DJ789" s="1458">
        <f t="shared" si="45"/>
        <v>0</v>
      </c>
      <c r="DK789" s="1459"/>
      <c r="DL789" s="1459"/>
      <c r="DM789" s="1459"/>
      <c r="DN789" s="1460"/>
      <c r="DO789" s="1458">
        <f t="shared" si="46"/>
        <v>0</v>
      </c>
      <c r="DP789" s="1459"/>
      <c r="DQ789" s="1459"/>
      <c r="DR789" s="1459"/>
      <c r="DS789" s="1460"/>
      <c r="DT789" s="6"/>
      <c r="DU789" s="1458">
        <f t="shared" si="47"/>
        <v>0</v>
      </c>
      <c r="DV789" s="1459"/>
      <c r="DW789" s="1459"/>
      <c r="DX789" s="1459"/>
      <c r="DY789" s="1460"/>
      <c r="DZ789" s="1458">
        <f t="shared" si="48"/>
        <v>0</v>
      </c>
      <c r="EA789" s="1459"/>
      <c r="EB789" s="1459"/>
      <c r="EC789" s="1459"/>
      <c r="ED789" s="1460"/>
      <c r="EE789" s="1458">
        <f t="shared" si="49"/>
        <v>0</v>
      </c>
      <c r="EF789" s="1459"/>
      <c r="EG789" s="1459"/>
      <c r="EH789" s="1459"/>
      <c r="EI789" s="1460"/>
      <c r="EJ789" s="1458">
        <f t="shared" si="50"/>
        <v>0</v>
      </c>
      <c r="EK789" s="1459"/>
      <c r="EL789" s="1459"/>
      <c r="EM789" s="1459"/>
      <c r="EN789" s="1460"/>
      <c r="EO789" s="1458">
        <f t="shared" si="51"/>
        <v>0</v>
      </c>
      <c r="EP789" s="1459"/>
      <c r="EQ789" s="1459"/>
      <c r="ER789" s="1459"/>
      <c r="ES789" s="1460"/>
      <c r="ET789" s="1458">
        <f t="shared" si="52"/>
        <v>0</v>
      </c>
      <c r="EU789" s="1459"/>
      <c r="EV789" s="1459"/>
      <c r="EW789" s="1459"/>
      <c r="EX789" s="1460"/>
    </row>
    <row r="790" spans="1:154" s="14" customFormat="1" ht="12.95" customHeight="1">
      <c r="A790"/>
      <c r="B790"/>
      <c r="C790"/>
      <c r="D790"/>
      <c r="E790"/>
      <c r="F790"/>
      <c r="G790"/>
      <c r="H790"/>
      <c r="I790"/>
      <c r="J790" s="1365"/>
      <c r="K790" s="1366"/>
      <c r="L790" s="1366"/>
      <c r="M790" s="1366"/>
      <c r="N790" s="1367"/>
      <c r="O790" s="1548"/>
      <c r="P790" s="1548"/>
      <c r="Q790" s="1548"/>
      <c r="R790" s="1548"/>
      <c r="S790" s="1548"/>
      <c r="T790" s="1350"/>
      <c r="U790" s="1351"/>
      <c r="V790" s="1351"/>
      <c r="W790" s="1352"/>
      <c r="X790" s="1343"/>
      <c r="Y790" s="1344"/>
      <c r="Z790" s="1344"/>
      <c r="AA790" s="1344"/>
      <c r="AB790" s="1345"/>
      <c r="AC790" s="1340">
        <f t="shared" si="40"/>
        <v>0</v>
      </c>
      <c r="AD790" s="1341"/>
      <c r="AE790" s="1341"/>
      <c r="AF790" s="1341"/>
      <c r="AG790" s="134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8">
        <f t="shared" si="41"/>
        <v>0</v>
      </c>
      <c r="CQ790" s="1459"/>
      <c r="CR790" s="1459"/>
      <c r="CS790" s="1459"/>
      <c r="CT790" s="1460"/>
      <c r="CU790" s="1458">
        <f t="shared" si="42"/>
        <v>0</v>
      </c>
      <c r="CV790" s="1459"/>
      <c r="CW790" s="1459"/>
      <c r="CX790" s="1459"/>
      <c r="CY790" s="1460"/>
      <c r="CZ790" s="1458">
        <f t="shared" si="43"/>
        <v>0</v>
      </c>
      <c r="DA790" s="1459"/>
      <c r="DB790" s="1459"/>
      <c r="DC790" s="1459"/>
      <c r="DD790" s="1460"/>
      <c r="DE790" s="1458">
        <f t="shared" si="44"/>
        <v>0</v>
      </c>
      <c r="DF790" s="1459"/>
      <c r="DG790" s="1459"/>
      <c r="DH790" s="1459"/>
      <c r="DI790" s="1460"/>
      <c r="DJ790" s="1458">
        <f t="shared" si="45"/>
        <v>0</v>
      </c>
      <c r="DK790" s="1459"/>
      <c r="DL790" s="1459"/>
      <c r="DM790" s="1459"/>
      <c r="DN790" s="1460"/>
      <c r="DO790" s="1458">
        <f t="shared" si="46"/>
        <v>0</v>
      </c>
      <c r="DP790" s="1459"/>
      <c r="DQ790" s="1459"/>
      <c r="DR790" s="1459"/>
      <c r="DS790" s="1460"/>
      <c r="DT790" s="6"/>
      <c r="DU790" s="1458">
        <f t="shared" si="47"/>
        <v>0</v>
      </c>
      <c r="DV790" s="1459"/>
      <c r="DW790" s="1459"/>
      <c r="DX790" s="1459"/>
      <c r="DY790" s="1460"/>
      <c r="DZ790" s="1458">
        <f t="shared" si="48"/>
        <v>0</v>
      </c>
      <c r="EA790" s="1459"/>
      <c r="EB790" s="1459"/>
      <c r="EC790" s="1459"/>
      <c r="ED790" s="1460"/>
      <c r="EE790" s="1458">
        <f t="shared" si="49"/>
        <v>0</v>
      </c>
      <c r="EF790" s="1459"/>
      <c r="EG790" s="1459"/>
      <c r="EH790" s="1459"/>
      <c r="EI790" s="1460"/>
      <c r="EJ790" s="1458">
        <f t="shared" si="50"/>
        <v>0</v>
      </c>
      <c r="EK790" s="1459"/>
      <c r="EL790" s="1459"/>
      <c r="EM790" s="1459"/>
      <c r="EN790" s="1460"/>
      <c r="EO790" s="1458">
        <f t="shared" si="51"/>
        <v>0</v>
      </c>
      <c r="EP790" s="1459"/>
      <c r="EQ790" s="1459"/>
      <c r="ER790" s="1459"/>
      <c r="ES790" s="1460"/>
      <c r="ET790" s="1458">
        <f t="shared" si="52"/>
        <v>0</v>
      </c>
      <c r="EU790" s="1459"/>
      <c r="EV790" s="1459"/>
      <c r="EW790" s="1459"/>
      <c r="EX790" s="1460"/>
    </row>
    <row r="791" spans="1:154" s="14" customFormat="1" ht="12.95" customHeight="1">
      <c r="A791"/>
      <c r="B791"/>
      <c r="C791"/>
      <c r="D791"/>
      <c r="E791"/>
      <c r="F791"/>
      <c r="G791"/>
      <c r="H791"/>
      <c r="I791"/>
      <c r="J791" s="1365"/>
      <c r="K791" s="1366"/>
      <c r="L791" s="1366"/>
      <c r="M791" s="1366"/>
      <c r="N791" s="1367"/>
      <c r="O791" s="1548"/>
      <c r="P791" s="1548"/>
      <c r="Q791" s="1548"/>
      <c r="R791" s="1548"/>
      <c r="S791" s="1548"/>
      <c r="T791" s="1350"/>
      <c r="U791" s="1351"/>
      <c r="V791" s="1351"/>
      <c r="W791" s="1352"/>
      <c r="X791" s="1343"/>
      <c r="Y791" s="1344"/>
      <c r="Z791" s="1344"/>
      <c r="AA791" s="1344"/>
      <c r="AB791" s="1345"/>
      <c r="AC791" s="1340">
        <f t="shared" si="40"/>
        <v>0</v>
      </c>
      <c r="AD791" s="1341"/>
      <c r="AE791" s="1341"/>
      <c r="AF791" s="1341"/>
      <c r="AG791" s="134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8">
        <f t="shared" si="41"/>
        <v>0</v>
      </c>
      <c r="CQ791" s="1459"/>
      <c r="CR791" s="1459"/>
      <c r="CS791" s="1459"/>
      <c r="CT791" s="1460"/>
      <c r="CU791" s="1458">
        <f t="shared" si="42"/>
        <v>0</v>
      </c>
      <c r="CV791" s="1459"/>
      <c r="CW791" s="1459"/>
      <c r="CX791" s="1459"/>
      <c r="CY791" s="1460"/>
      <c r="CZ791" s="1458">
        <f t="shared" si="43"/>
        <v>0</v>
      </c>
      <c r="DA791" s="1459"/>
      <c r="DB791" s="1459"/>
      <c r="DC791" s="1459"/>
      <c r="DD791" s="1460"/>
      <c r="DE791" s="1458">
        <f t="shared" si="44"/>
        <v>0</v>
      </c>
      <c r="DF791" s="1459"/>
      <c r="DG791" s="1459"/>
      <c r="DH791" s="1459"/>
      <c r="DI791" s="1460"/>
      <c r="DJ791" s="1458">
        <f t="shared" si="45"/>
        <v>0</v>
      </c>
      <c r="DK791" s="1459"/>
      <c r="DL791" s="1459"/>
      <c r="DM791" s="1459"/>
      <c r="DN791" s="1460"/>
      <c r="DO791" s="1458">
        <f t="shared" si="46"/>
        <v>0</v>
      </c>
      <c r="DP791" s="1459"/>
      <c r="DQ791" s="1459"/>
      <c r="DR791" s="1459"/>
      <c r="DS791" s="1460"/>
      <c r="DT791" s="6"/>
      <c r="DU791" s="1458">
        <f t="shared" si="47"/>
        <v>0</v>
      </c>
      <c r="DV791" s="1459"/>
      <c r="DW791" s="1459"/>
      <c r="DX791" s="1459"/>
      <c r="DY791" s="1460"/>
      <c r="DZ791" s="1458">
        <f t="shared" si="48"/>
        <v>0</v>
      </c>
      <c r="EA791" s="1459"/>
      <c r="EB791" s="1459"/>
      <c r="EC791" s="1459"/>
      <c r="ED791" s="1460"/>
      <c r="EE791" s="1458">
        <f t="shared" si="49"/>
        <v>0</v>
      </c>
      <c r="EF791" s="1459"/>
      <c r="EG791" s="1459"/>
      <c r="EH791" s="1459"/>
      <c r="EI791" s="1460"/>
      <c r="EJ791" s="1458">
        <f t="shared" si="50"/>
        <v>0</v>
      </c>
      <c r="EK791" s="1459"/>
      <c r="EL791" s="1459"/>
      <c r="EM791" s="1459"/>
      <c r="EN791" s="1460"/>
      <c r="EO791" s="1458">
        <f t="shared" si="51"/>
        <v>0</v>
      </c>
      <c r="EP791" s="1459"/>
      <c r="EQ791" s="1459"/>
      <c r="ER791" s="1459"/>
      <c r="ES791" s="1460"/>
      <c r="ET791" s="1458">
        <f t="shared" si="52"/>
        <v>0</v>
      </c>
      <c r="EU791" s="1459"/>
      <c r="EV791" s="1459"/>
      <c r="EW791" s="1459"/>
      <c r="EX791" s="1460"/>
    </row>
    <row r="792" spans="1:154" s="14" customFormat="1" ht="12.95" customHeight="1">
      <c r="A792"/>
      <c r="B792"/>
      <c r="C792"/>
      <c r="D792"/>
      <c r="E792"/>
      <c r="F792"/>
      <c r="G792"/>
      <c r="H792"/>
      <c r="I792"/>
      <c r="J792" s="1365"/>
      <c r="K792" s="1366"/>
      <c r="L792" s="1366"/>
      <c r="M792" s="1366"/>
      <c r="N792" s="1367"/>
      <c r="O792" s="1548"/>
      <c r="P792" s="1548"/>
      <c r="Q792" s="1548"/>
      <c r="R792" s="1548"/>
      <c r="S792" s="1548"/>
      <c r="T792" s="1350"/>
      <c r="U792" s="1351"/>
      <c r="V792" s="1351"/>
      <c r="W792" s="1352"/>
      <c r="X792" s="1343"/>
      <c r="Y792" s="1344"/>
      <c r="Z792" s="1344"/>
      <c r="AA792" s="1344"/>
      <c r="AB792" s="1345"/>
      <c r="AC792" s="1340">
        <f t="shared" si="40"/>
        <v>0</v>
      </c>
      <c r="AD792" s="1341"/>
      <c r="AE792" s="1341"/>
      <c r="AF792" s="1341"/>
      <c r="AG792" s="134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8">
        <f t="shared" si="41"/>
        <v>0</v>
      </c>
      <c r="CQ792" s="1459"/>
      <c r="CR792" s="1459"/>
      <c r="CS792" s="1459"/>
      <c r="CT792" s="1460"/>
      <c r="CU792" s="1458">
        <f t="shared" si="42"/>
        <v>0</v>
      </c>
      <c r="CV792" s="1459"/>
      <c r="CW792" s="1459"/>
      <c r="CX792" s="1459"/>
      <c r="CY792" s="1460"/>
      <c r="CZ792" s="1458">
        <f t="shared" si="43"/>
        <v>0</v>
      </c>
      <c r="DA792" s="1459"/>
      <c r="DB792" s="1459"/>
      <c r="DC792" s="1459"/>
      <c r="DD792" s="1460"/>
      <c r="DE792" s="1458">
        <f t="shared" si="44"/>
        <v>0</v>
      </c>
      <c r="DF792" s="1459"/>
      <c r="DG792" s="1459"/>
      <c r="DH792" s="1459"/>
      <c r="DI792" s="1460"/>
      <c r="DJ792" s="1458">
        <f t="shared" si="45"/>
        <v>0</v>
      </c>
      <c r="DK792" s="1459"/>
      <c r="DL792" s="1459"/>
      <c r="DM792" s="1459"/>
      <c r="DN792" s="1460"/>
      <c r="DO792" s="1458">
        <f t="shared" si="46"/>
        <v>0</v>
      </c>
      <c r="DP792" s="1459"/>
      <c r="DQ792" s="1459"/>
      <c r="DR792" s="1459"/>
      <c r="DS792" s="1460"/>
      <c r="DT792" s="6"/>
      <c r="DU792" s="1458">
        <f t="shared" si="47"/>
        <v>0</v>
      </c>
      <c r="DV792" s="1459"/>
      <c r="DW792" s="1459"/>
      <c r="DX792" s="1459"/>
      <c r="DY792" s="1460"/>
      <c r="DZ792" s="1458">
        <f t="shared" si="48"/>
        <v>0</v>
      </c>
      <c r="EA792" s="1459"/>
      <c r="EB792" s="1459"/>
      <c r="EC792" s="1459"/>
      <c r="ED792" s="1460"/>
      <c r="EE792" s="1458">
        <f t="shared" si="49"/>
        <v>0</v>
      </c>
      <c r="EF792" s="1459"/>
      <c r="EG792" s="1459"/>
      <c r="EH792" s="1459"/>
      <c r="EI792" s="1460"/>
      <c r="EJ792" s="1458">
        <f t="shared" si="50"/>
        <v>0</v>
      </c>
      <c r="EK792" s="1459"/>
      <c r="EL792" s="1459"/>
      <c r="EM792" s="1459"/>
      <c r="EN792" s="1460"/>
      <c r="EO792" s="1458">
        <f t="shared" si="51"/>
        <v>0</v>
      </c>
      <c r="EP792" s="1459"/>
      <c r="EQ792" s="1459"/>
      <c r="ER792" s="1459"/>
      <c r="ES792" s="1460"/>
      <c r="ET792" s="1458">
        <f t="shared" si="52"/>
        <v>0</v>
      </c>
      <c r="EU792" s="1459"/>
      <c r="EV792" s="1459"/>
      <c r="EW792" s="1459"/>
      <c r="EX792" s="1460"/>
    </row>
    <row r="793" spans="1:154" s="14" customFormat="1" ht="12.95" customHeight="1">
      <c r="A793"/>
      <c r="B793"/>
      <c r="C793"/>
      <c r="D793"/>
      <c r="E793"/>
      <c r="F793"/>
      <c r="G793"/>
      <c r="H793"/>
      <c r="I793"/>
      <c r="J793" s="1365"/>
      <c r="K793" s="1366"/>
      <c r="L793" s="1366"/>
      <c r="M793" s="1366"/>
      <c r="N793" s="1367"/>
      <c r="O793" s="1548"/>
      <c r="P793" s="1548"/>
      <c r="Q793" s="1548"/>
      <c r="R793" s="1548"/>
      <c r="S793" s="1548"/>
      <c r="T793" s="1350"/>
      <c r="U793" s="1351"/>
      <c r="V793" s="1351"/>
      <c r="W793" s="1352"/>
      <c r="X793" s="1343"/>
      <c r="Y793" s="1344"/>
      <c r="Z793" s="1344"/>
      <c r="AA793" s="1344"/>
      <c r="AB793" s="1345"/>
      <c r="AC793" s="1340">
        <f t="shared" si="40"/>
        <v>0</v>
      </c>
      <c r="AD793" s="1341"/>
      <c r="AE793" s="1341"/>
      <c r="AF793" s="1341"/>
      <c r="AG793" s="134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8">
        <f t="shared" si="41"/>
        <v>0</v>
      </c>
      <c r="CQ793" s="1459"/>
      <c r="CR793" s="1459"/>
      <c r="CS793" s="1459"/>
      <c r="CT793" s="1460"/>
      <c r="CU793" s="1458">
        <f t="shared" si="42"/>
        <v>0</v>
      </c>
      <c r="CV793" s="1459"/>
      <c r="CW793" s="1459"/>
      <c r="CX793" s="1459"/>
      <c r="CY793" s="1460"/>
      <c r="CZ793" s="1458">
        <f t="shared" si="43"/>
        <v>0</v>
      </c>
      <c r="DA793" s="1459"/>
      <c r="DB793" s="1459"/>
      <c r="DC793" s="1459"/>
      <c r="DD793" s="1460"/>
      <c r="DE793" s="1458">
        <f t="shared" si="44"/>
        <v>0</v>
      </c>
      <c r="DF793" s="1459"/>
      <c r="DG793" s="1459"/>
      <c r="DH793" s="1459"/>
      <c r="DI793" s="1460"/>
      <c r="DJ793" s="1458">
        <f t="shared" si="45"/>
        <v>0</v>
      </c>
      <c r="DK793" s="1459"/>
      <c r="DL793" s="1459"/>
      <c r="DM793" s="1459"/>
      <c r="DN793" s="1460"/>
      <c r="DO793" s="1458">
        <f t="shared" si="46"/>
        <v>0</v>
      </c>
      <c r="DP793" s="1459"/>
      <c r="DQ793" s="1459"/>
      <c r="DR793" s="1459"/>
      <c r="DS793" s="1460"/>
      <c r="DT793" s="6"/>
      <c r="DU793" s="1458">
        <f t="shared" si="47"/>
        <v>0</v>
      </c>
      <c r="DV793" s="1459"/>
      <c r="DW793" s="1459"/>
      <c r="DX793" s="1459"/>
      <c r="DY793" s="1460"/>
      <c r="DZ793" s="1458">
        <f t="shared" si="48"/>
        <v>0</v>
      </c>
      <c r="EA793" s="1459"/>
      <c r="EB793" s="1459"/>
      <c r="EC793" s="1459"/>
      <c r="ED793" s="1460"/>
      <c r="EE793" s="1458">
        <f t="shared" si="49"/>
        <v>0</v>
      </c>
      <c r="EF793" s="1459"/>
      <c r="EG793" s="1459"/>
      <c r="EH793" s="1459"/>
      <c r="EI793" s="1460"/>
      <c r="EJ793" s="1458">
        <f t="shared" si="50"/>
        <v>0</v>
      </c>
      <c r="EK793" s="1459"/>
      <c r="EL793" s="1459"/>
      <c r="EM793" s="1459"/>
      <c r="EN793" s="1460"/>
      <c r="EO793" s="1458">
        <f t="shared" si="51"/>
        <v>0</v>
      </c>
      <c r="EP793" s="1459"/>
      <c r="EQ793" s="1459"/>
      <c r="ER793" s="1459"/>
      <c r="ES793" s="1460"/>
      <c r="ET793" s="1458">
        <f t="shared" si="52"/>
        <v>0</v>
      </c>
      <c r="EU793" s="1459"/>
      <c r="EV793" s="1459"/>
      <c r="EW793" s="1459"/>
      <c r="EX793" s="1460"/>
    </row>
    <row r="794" spans="1:154" s="14" customFormat="1" ht="12.95" customHeight="1">
      <c r="A794"/>
      <c r="B794"/>
      <c r="C794"/>
      <c r="D794"/>
      <c r="E794"/>
      <c r="F794"/>
      <c r="G794"/>
      <c r="H794"/>
      <c r="I794"/>
      <c r="J794" s="1365"/>
      <c r="K794" s="1366"/>
      <c r="L794" s="1366"/>
      <c r="M794" s="1366"/>
      <c r="N794" s="1367"/>
      <c r="O794" s="1548"/>
      <c r="P794" s="1548"/>
      <c r="Q794" s="1548"/>
      <c r="R794" s="1548"/>
      <c r="S794" s="1548"/>
      <c r="T794" s="1350"/>
      <c r="U794" s="1351"/>
      <c r="V794" s="1351"/>
      <c r="W794" s="1352"/>
      <c r="X794" s="1343"/>
      <c r="Y794" s="1344"/>
      <c r="Z794" s="1344"/>
      <c r="AA794" s="1344"/>
      <c r="AB794" s="1345"/>
      <c r="AC794" s="1340">
        <f t="shared" si="40"/>
        <v>0</v>
      </c>
      <c r="AD794" s="1341"/>
      <c r="AE794" s="1341"/>
      <c r="AF794" s="1341"/>
      <c r="AG794" s="134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8">
        <f t="shared" si="41"/>
        <v>0</v>
      </c>
      <c r="CQ794" s="1459"/>
      <c r="CR794" s="1459"/>
      <c r="CS794" s="1459"/>
      <c r="CT794" s="1460"/>
      <c r="CU794" s="1458">
        <f t="shared" si="42"/>
        <v>0</v>
      </c>
      <c r="CV794" s="1459"/>
      <c r="CW794" s="1459"/>
      <c r="CX794" s="1459"/>
      <c r="CY794" s="1460"/>
      <c r="CZ794" s="1458">
        <f t="shared" si="43"/>
        <v>0</v>
      </c>
      <c r="DA794" s="1459"/>
      <c r="DB794" s="1459"/>
      <c r="DC794" s="1459"/>
      <c r="DD794" s="1460"/>
      <c r="DE794" s="1458">
        <f t="shared" si="44"/>
        <v>0</v>
      </c>
      <c r="DF794" s="1459"/>
      <c r="DG794" s="1459"/>
      <c r="DH794" s="1459"/>
      <c r="DI794" s="1460"/>
      <c r="DJ794" s="1458">
        <f t="shared" si="45"/>
        <v>0</v>
      </c>
      <c r="DK794" s="1459"/>
      <c r="DL794" s="1459"/>
      <c r="DM794" s="1459"/>
      <c r="DN794" s="1460"/>
      <c r="DO794" s="1458">
        <f t="shared" si="46"/>
        <v>0</v>
      </c>
      <c r="DP794" s="1459"/>
      <c r="DQ794" s="1459"/>
      <c r="DR794" s="1459"/>
      <c r="DS794" s="1460"/>
      <c r="DT794" s="6"/>
      <c r="DU794" s="1458">
        <f t="shared" si="47"/>
        <v>0</v>
      </c>
      <c r="DV794" s="1459"/>
      <c r="DW794" s="1459"/>
      <c r="DX794" s="1459"/>
      <c r="DY794" s="1460"/>
      <c r="DZ794" s="1458">
        <f t="shared" si="48"/>
        <v>0</v>
      </c>
      <c r="EA794" s="1459"/>
      <c r="EB794" s="1459"/>
      <c r="EC794" s="1459"/>
      <c r="ED794" s="1460"/>
      <c r="EE794" s="1458">
        <f t="shared" si="49"/>
        <v>0</v>
      </c>
      <c r="EF794" s="1459"/>
      <c r="EG794" s="1459"/>
      <c r="EH794" s="1459"/>
      <c r="EI794" s="1460"/>
      <c r="EJ794" s="1458">
        <f t="shared" si="50"/>
        <v>0</v>
      </c>
      <c r="EK794" s="1459"/>
      <c r="EL794" s="1459"/>
      <c r="EM794" s="1459"/>
      <c r="EN794" s="1460"/>
      <c r="EO794" s="1458">
        <f t="shared" si="51"/>
        <v>0</v>
      </c>
      <c r="EP794" s="1459"/>
      <c r="EQ794" s="1459"/>
      <c r="ER794" s="1459"/>
      <c r="ES794" s="1460"/>
      <c r="ET794" s="1458">
        <f t="shared" si="52"/>
        <v>0</v>
      </c>
      <c r="EU794" s="1459"/>
      <c r="EV794" s="1459"/>
      <c r="EW794" s="1459"/>
      <c r="EX794" s="1460"/>
    </row>
    <row r="795" spans="1:154" s="14" customFormat="1" ht="12.95" customHeight="1">
      <c r="A795"/>
      <c r="B795"/>
      <c r="C795"/>
      <c r="D795"/>
      <c r="E795"/>
      <c r="F795"/>
      <c r="G795"/>
      <c r="H795"/>
      <c r="I795"/>
      <c r="J795" s="1365"/>
      <c r="K795" s="1366"/>
      <c r="L795" s="1366"/>
      <c r="M795" s="1366"/>
      <c r="N795" s="1367"/>
      <c r="O795" s="1548"/>
      <c r="P795" s="1548"/>
      <c r="Q795" s="1548"/>
      <c r="R795" s="1548"/>
      <c r="S795" s="1548"/>
      <c r="T795" s="1350"/>
      <c r="U795" s="1351"/>
      <c r="V795" s="1351"/>
      <c r="W795" s="1352"/>
      <c r="X795" s="1343"/>
      <c r="Y795" s="1344"/>
      <c r="Z795" s="1344"/>
      <c r="AA795" s="1344"/>
      <c r="AB795" s="1345"/>
      <c r="AC795" s="1340">
        <f t="shared" si="40"/>
        <v>0</v>
      </c>
      <c r="AD795" s="1341"/>
      <c r="AE795" s="1341"/>
      <c r="AF795" s="1341"/>
      <c r="AG795" s="134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8">
        <f t="shared" si="41"/>
        <v>0</v>
      </c>
      <c r="CQ795" s="1459"/>
      <c r="CR795" s="1459"/>
      <c r="CS795" s="1459"/>
      <c r="CT795" s="1460"/>
      <c r="CU795" s="1458">
        <f t="shared" si="42"/>
        <v>0</v>
      </c>
      <c r="CV795" s="1459"/>
      <c r="CW795" s="1459"/>
      <c r="CX795" s="1459"/>
      <c r="CY795" s="1460"/>
      <c r="CZ795" s="1458">
        <f t="shared" si="43"/>
        <v>0</v>
      </c>
      <c r="DA795" s="1459"/>
      <c r="DB795" s="1459"/>
      <c r="DC795" s="1459"/>
      <c r="DD795" s="1460"/>
      <c r="DE795" s="1458">
        <f t="shared" si="44"/>
        <v>0</v>
      </c>
      <c r="DF795" s="1459"/>
      <c r="DG795" s="1459"/>
      <c r="DH795" s="1459"/>
      <c r="DI795" s="1460"/>
      <c r="DJ795" s="1458">
        <f t="shared" si="45"/>
        <v>0</v>
      </c>
      <c r="DK795" s="1459"/>
      <c r="DL795" s="1459"/>
      <c r="DM795" s="1459"/>
      <c r="DN795" s="1460"/>
      <c r="DO795" s="1458">
        <f t="shared" si="46"/>
        <v>0</v>
      </c>
      <c r="DP795" s="1459"/>
      <c r="DQ795" s="1459"/>
      <c r="DR795" s="1459"/>
      <c r="DS795" s="1460"/>
      <c r="DT795" s="6"/>
      <c r="DU795" s="1458">
        <f t="shared" si="47"/>
        <v>0</v>
      </c>
      <c r="DV795" s="1459"/>
      <c r="DW795" s="1459"/>
      <c r="DX795" s="1459"/>
      <c r="DY795" s="1460"/>
      <c r="DZ795" s="1458">
        <f t="shared" si="48"/>
        <v>0</v>
      </c>
      <c r="EA795" s="1459"/>
      <c r="EB795" s="1459"/>
      <c r="EC795" s="1459"/>
      <c r="ED795" s="1460"/>
      <c r="EE795" s="1458">
        <f t="shared" si="49"/>
        <v>0</v>
      </c>
      <c r="EF795" s="1459"/>
      <c r="EG795" s="1459"/>
      <c r="EH795" s="1459"/>
      <c r="EI795" s="1460"/>
      <c r="EJ795" s="1458">
        <f t="shared" si="50"/>
        <v>0</v>
      </c>
      <c r="EK795" s="1459"/>
      <c r="EL795" s="1459"/>
      <c r="EM795" s="1459"/>
      <c r="EN795" s="1460"/>
      <c r="EO795" s="1458">
        <f t="shared" si="51"/>
        <v>0</v>
      </c>
      <c r="EP795" s="1459"/>
      <c r="EQ795" s="1459"/>
      <c r="ER795" s="1459"/>
      <c r="ES795" s="1460"/>
      <c r="ET795" s="1458">
        <f t="shared" si="52"/>
        <v>0</v>
      </c>
      <c r="EU795" s="1459"/>
      <c r="EV795" s="1459"/>
      <c r="EW795" s="1459"/>
      <c r="EX795" s="1460"/>
    </row>
    <row r="796" spans="1:154" s="4" customFormat="1" ht="12.95" customHeight="1">
      <c r="A796"/>
      <c r="B796"/>
      <c r="C796"/>
      <c r="D796"/>
      <c r="E796"/>
      <c r="F796"/>
      <c r="G796"/>
      <c r="H796"/>
      <c r="I796"/>
      <c r="J796" s="1365"/>
      <c r="K796" s="1366"/>
      <c r="L796" s="1366"/>
      <c r="M796" s="1366"/>
      <c r="N796" s="1367"/>
      <c r="O796" s="1548"/>
      <c r="P796" s="1548"/>
      <c r="Q796" s="1548"/>
      <c r="R796" s="1548"/>
      <c r="S796" s="1548"/>
      <c r="T796" s="1350"/>
      <c r="U796" s="1351"/>
      <c r="V796" s="1351"/>
      <c r="W796" s="1352"/>
      <c r="X796" s="1343"/>
      <c r="Y796" s="1344"/>
      <c r="Z796" s="1344"/>
      <c r="AA796" s="1344"/>
      <c r="AB796" s="1345"/>
      <c r="AC796" s="1340">
        <f t="shared" si="40"/>
        <v>0</v>
      </c>
      <c r="AD796" s="1341"/>
      <c r="AE796" s="1341"/>
      <c r="AF796" s="1341"/>
      <c r="AG796" s="1342"/>
      <c r="AH796"/>
      <c r="AI796"/>
      <c r="AJ796"/>
      <c r="AK796"/>
      <c r="AL796"/>
      <c r="AM796"/>
      <c r="AN796"/>
      <c r="AO796"/>
      <c r="AP796"/>
      <c r="AQ796"/>
      <c r="AR796"/>
      <c r="AS796"/>
      <c r="AT796"/>
      <c r="AU796"/>
      <c r="AV796"/>
      <c r="AW796"/>
      <c r="AX796"/>
      <c r="AY796"/>
      <c r="AZ796" s="3"/>
      <c r="CP796" s="1458">
        <f t="shared" si="41"/>
        <v>0</v>
      </c>
      <c r="CQ796" s="1459"/>
      <c r="CR796" s="1459"/>
      <c r="CS796" s="1459"/>
      <c r="CT796" s="1460"/>
      <c r="CU796" s="1458">
        <f t="shared" si="42"/>
        <v>0</v>
      </c>
      <c r="CV796" s="1459"/>
      <c r="CW796" s="1459"/>
      <c r="CX796" s="1459"/>
      <c r="CY796" s="1460"/>
      <c r="CZ796" s="1458">
        <f t="shared" si="43"/>
        <v>0</v>
      </c>
      <c r="DA796" s="1459"/>
      <c r="DB796" s="1459"/>
      <c r="DC796" s="1459"/>
      <c r="DD796" s="1460"/>
      <c r="DE796" s="1458">
        <f t="shared" si="44"/>
        <v>0</v>
      </c>
      <c r="DF796" s="1459"/>
      <c r="DG796" s="1459"/>
      <c r="DH796" s="1459"/>
      <c r="DI796" s="1460"/>
      <c r="DJ796" s="1458">
        <f t="shared" si="45"/>
        <v>0</v>
      </c>
      <c r="DK796" s="1459"/>
      <c r="DL796" s="1459"/>
      <c r="DM796" s="1459"/>
      <c r="DN796" s="1460"/>
      <c r="DO796" s="1458">
        <f t="shared" si="46"/>
        <v>0</v>
      </c>
      <c r="DP796" s="1459"/>
      <c r="DQ796" s="1459"/>
      <c r="DR796" s="1459"/>
      <c r="DS796" s="1460"/>
      <c r="DT796" s="6"/>
      <c r="DU796" s="1458">
        <f t="shared" si="47"/>
        <v>0</v>
      </c>
      <c r="DV796" s="1459"/>
      <c r="DW796" s="1459"/>
      <c r="DX796" s="1459"/>
      <c r="DY796" s="1460"/>
      <c r="DZ796" s="1458">
        <f t="shared" si="48"/>
        <v>0</v>
      </c>
      <c r="EA796" s="1459"/>
      <c r="EB796" s="1459"/>
      <c r="EC796" s="1459"/>
      <c r="ED796" s="1460"/>
      <c r="EE796" s="1458">
        <f t="shared" si="49"/>
        <v>0</v>
      </c>
      <c r="EF796" s="1459"/>
      <c r="EG796" s="1459"/>
      <c r="EH796" s="1459"/>
      <c r="EI796" s="1460"/>
      <c r="EJ796" s="1458">
        <f t="shared" si="50"/>
        <v>0</v>
      </c>
      <c r="EK796" s="1459"/>
      <c r="EL796" s="1459"/>
      <c r="EM796" s="1459"/>
      <c r="EN796" s="1460"/>
      <c r="EO796" s="1458">
        <f t="shared" si="51"/>
        <v>0</v>
      </c>
      <c r="EP796" s="1459"/>
      <c r="EQ796" s="1459"/>
      <c r="ER796" s="1459"/>
      <c r="ES796" s="1460"/>
      <c r="ET796" s="1458">
        <f t="shared" si="52"/>
        <v>0</v>
      </c>
      <c r="EU796" s="1459"/>
      <c r="EV796" s="1459"/>
      <c r="EW796" s="1459"/>
      <c r="EX796" s="1460"/>
    </row>
    <row r="797" spans="1:154" s="4" customFormat="1" ht="12.95" customHeight="1">
      <c r="A797"/>
      <c r="B797"/>
      <c r="C797"/>
      <c r="D797"/>
      <c r="E797"/>
      <c r="F797"/>
      <c r="G797"/>
      <c r="H797"/>
      <c r="I797"/>
      <c r="J797" s="1609" t="s">
        <v>125</v>
      </c>
      <c r="K797" s="1610"/>
      <c r="L797" s="1610"/>
      <c r="M797" s="1610"/>
      <c r="N797" s="1611"/>
      <c r="O797" s="1726">
        <f>SUM(O787:S796)</f>
        <v>0</v>
      </c>
      <c r="P797" s="1726"/>
      <c r="Q797" s="1726"/>
      <c r="R797" s="1726"/>
      <c r="S797" s="1726"/>
      <c r="T797"/>
      <c r="U797"/>
      <c r="V797"/>
      <c r="W797"/>
      <c r="X797" s="902" t="s">
        <v>124</v>
      </c>
      <c r="Y797" s="11"/>
      <c r="Z797" s="11"/>
      <c r="AA797" s="11"/>
      <c r="AB797" s="909"/>
      <c r="AC797" s="1340">
        <f>SUM(AC787:AG796)</f>
        <v>0</v>
      </c>
      <c r="AD797" s="1341"/>
      <c r="AE797" s="1341"/>
      <c r="AF797" s="1341"/>
      <c r="AG797" s="1342"/>
      <c r="AH797"/>
      <c r="AI797"/>
      <c r="AJ797"/>
      <c r="AK797"/>
      <c r="AL797"/>
      <c r="AM797"/>
      <c r="AN797"/>
      <c r="AO797"/>
      <c r="AP797"/>
      <c r="AQ797"/>
      <c r="AR797"/>
      <c r="AS797"/>
      <c r="AT797"/>
      <c r="AU797"/>
      <c r="AV797"/>
      <c r="AW797"/>
      <c r="AX797"/>
      <c r="AY797"/>
      <c r="AZ797" s="3"/>
      <c r="BA797"/>
      <c r="CP797" s="1461">
        <f>SUM(CP787:CT796)</f>
        <v>0</v>
      </c>
      <c r="CQ797" s="1721"/>
      <c r="CR797" s="1721"/>
      <c r="CS797" s="1721"/>
      <c r="CT797" s="1462"/>
      <c r="CU797" s="1464">
        <f>SUM(CU787:CY796)</f>
        <v>0</v>
      </c>
      <c r="CV797" s="1465"/>
      <c r="CW797" s="1465"/>
      <c r="CX797" s="1465"/>
      <c r="CY797" s="1466"/>
      <c r="CZ797" s="1464">
        <f>SUM(CZ787:DD796)</f>
        <v>0</v>
      </c>
      <c r="DA797" s="1465"/>
      <c r="DB797" s="1465"/>
      <c r="DC797" s="1465"/>
      <c r="DD797" s="1466"/>
      <c r="DE797" s="1464">
        <f>SUM(DE787:DI796)</f>
        <v>0</v>
      </c>
      <c r="DF797" s="1465"/>
      <c r="DG797" s="1465"/>
      <c r="DH797" s="1465"/>
      <c r="DI797" s="1466"/>
      <c r="DJ797" s="1464">
        <f>SUM(DJ787:DN796)</f>
        <v>0</v>
      </c>
      <c r="DK797" s="1465"/>
      <c r="DL797" s="1465"/>
      <c r="DM797" s="1465"/>
      <c r="DN797" s="1466"/>
      <c r="DO797" s="1464">
        <f>SUM(DO787:DS796)</f>
        <v>0</v>
      </c>
      <c r="DP797" s="1465"/>
      <c r="DQ797" s="1465"/>
      <c r="DR797" s="1465"/>
      <c r="DS797" s="1466"/>
      <c r="DT797" s="1011"/>
      <c r="DU797" s="1461">
        <f>SUM(DU787:DY796)</f>
        <v>0</v>
      </c>
      <c r="DV797" s="1721"/>
      <c r="DW797" s="1721"/>
      <c r="DX797" s="1721"/>
      <c r="DY797" s="1462"/>
      <c r="DZ797" s="1461">
        <f>SUM(DZ787:ED796)</f>
        <v>0</v>
      </c>
      <c r="EA797" s="1721"/>
      <c r="EB797" s="1721"/>
      <c r="EC797" s="1721"/>
      <c r="ED797" s="1462"/>
      <c r="EE797" s="1461">
        <f>SUM(EE787:EI796)</f>
        <v>0</v>
      </c>
      <c r="EF797" s="1721"/>
      <c r="EG797" s="1721"/>
      <c r="EH797" s="1721"/>
      <c r="EI797" s="1462"/>
      <c r="EJ797" s="1461">
        <f>SUM(EJ787:EN796)</f>
        <v>0</v>
      </c>
      <c r="EK797" s="1721"/>
      <c r="EL797" s="1721"/>
      <c r="EM797" s="1721"/>
      <c r="EN797" s="1462"/>
      <c r="EO797" s="1461">
        <f>SUM(EO787:ES796)</f>
        <v>0</v>
      </c>
      <c r="EP797" s="1721"/>
      <c r="EQ797" s="1721"/>
      <c r="ER797" s="1721"/>
      <c r="ES797" s="1462"/>
      <c r="ET797" s="1461">
        <f>SUM(ET787:EX796)</f>
        <v>0</v>
      </c>
      <c r="EU797" s="1721"/>
      <c r="EV797" s="1721"/>
      <c r="EW797" s="1721"/>
      <c r="EX797" s="1462"/>
    </row>
    <row r="798" spans="1:154" s="4" customFormat="1" ht="12.95" customHeight="1">
      <c r="A798"/>
      <c r="B798"/>
      <c r="C798" s="1728" t="str">
        <f>IF(O797&lt;&gt;AG438,"! Total market rate units in the Unit Mix Table above does not match the number of  market rate units on row #"&amp;TEXT(ROW(D438),"#"),"")</f>
        <v/>
      </c>
      <c r="D798" s="1728"/>
      <c r="E798" s="1728"/>
      <c r="F798" s="1728"/>
      <c r="G798" s="1728"/>
      <c r="H798" s="1728"/>
      <c r="I798" s="1728"/>
      <c r="J798" s="1728"/>
      <c r="K798" s="1728"/>
      <c r="L798" s="1728"/>
      <c r="M798" s="1728"/>
      <c r="N798" s="1728"/>
      <c r="O798" s="1728"/>
      <c r="P798" s="1728"/>
      <c r="Q798" s="1728"/>
      <c r="R798" s="1728"/>
      <c r="S798" s="1728"/>
      <c r="T798" s="1728"/>
      <c r="U798" s="1728"/>
      <c r="V798" s="1728"/>
      <c r="W798" s="1728"/>
      <c r="X798" s="1728"/>
      <c r="Y798" s="1728"/>
      <c r="Z798" s="1728"/>
      <c r="AA798" s="1728"/>
      <c r="AB798" s="1728"/>
      <c r="AC798" s="1728"/>
      <c r="AD798" s="1728"/>
      <c r="AE798" s="1728"/>
      <c r="AF798" s="1728"/>
      <c r="AG798" s="1728"/>
      <c r="AH798" s="1728"/>
      <c r="AI798" s="1728"/>
      <c r="AJ798" s="1728"/>
      <c r="AK798" s="1728"/>
      <c r="AL798" s="1728"/>
      <c r="AM798" s="1728"/>
      <c r="AN798" s="1728"/>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28"/>
      <c r="D799" s="1728"/>
      <c r="E799" s="1728"/>
      <c r="F799" s="1728"/>
      <c r="G799" s="1728"/>
      <c r="H799" s="1728"/>
      <c r="I799" s="1728"/>
      <c r="J799" s="1728"/>
      <c r="K799" s="1728"/>
      <c r="L799" s="1728"/>
      <c r="M799" s="1728"/>
      <c r="N799" s="1728"/>
      <c r="O799" s="1728"/>
      <c r="P799" s="1728"/>
      <c r="Q799" s="1728"/>
      <c r="R799" s="1728"/>
      <c r="S799" s="1728"/>
      <c r="T799" s="1728"/>
      <c r="U799" s="1728"/>
      <c r="V799" s="1728"/>
      <c r="W799" s="1728"/>
      <c r="X799" s="1728"/>
      <c r="Y799" s="1728"/>
      <c r="Z799" s="1728"/>
      <c r="AA799" s="1728"/>
      <c r="AB799" s="1728"/>
      <c r="AC799" s="1728"/>
      <c r="AD799" s="1728"/>
      <c r="AE799" s="1728"/>
      <c r="AF799" s="1728"/>
      <c r="AG799" s="1728"/>
      <c r="AH799" s="1728"/>
      <c r="AI799" s="1728"/>
      <c r="AJ799" s="1728"/>
      <c r="AK799" s="1728"/>
      <c r="AL799" s="1728"/>
      <c r="AM799" s="1728"/>
      <c r="AN799" s="1728"/>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862">
        <f>SUM(DU797:EX797)</f>
        <v>0</v>
      </c>
      <c r="EU799" s="1863"/>
      <c r="EV799" s="1863"/>
      <c r="EW799" s="1863"/>
      <c r="EX799" s="1864"/>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34">
        <f>O753+AC777+AC797</f>
        <v>671574.6</v>
      </c>
      <c r="Z800" s="1634"/>
      <c r="AA800" s="1634"/>
      <c r="AB800" s="1634"/>
      <c r="AC800" s="163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34">
        <f>(O753+AC777+AC797)*12</f>
        <v>8058895.1999999993</v>
      </c>
      <c r="Z801" s="1634"/>
      <c r="AA801" s="1634"/>
      <c r="AB801" s="1634"/>
      <c r="AC801" s="163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64">
        <f>CP753+CP777+CP797</f>
        <v>0</v>
      </c>
      <c r="CQ802" s="1465"/>
      <c r="CR802" s="1465"/>
      <c r="CS802" s="1465"/>
      <c r="CT802" s="1466"/>
      <c r="CU802" s="1464">
        <f>CU753+CU777+CU797</f>
        <v>365</v>
      </c>
      <c r="CV802" s="1465"/>
      <c r="CW802" s="1465"/>
      <c r="CX802" s="1465"/>
      <c r="CY802" s="1466"/>
      <c r="CZ802" s="1464">
        <f>CZ753+CZ777+CZ797</f>
        <v>30</v>
      </c>
      <c r="DA802" s="1465"/>
      <c r="DB802" s="1465"/>
      <c r="DC802" s="1465"/>
      <c r="DD802" s="1466"/>
      <c r="DE802" s="1464">
        <f>DE753+DE777+DE797</f>
        <v>0</v>
      </c>
      <c r="DF802" s="1465"/>
      <c r="DG802" s="1465"/>
      <c r="DH802" s="1465"/>
      <c r="DI802" s="1466"/>
      <c r="DJ802" s="1464">
        <f>DJ753+DJ777+DJ797</f>
        <v>0</v>
      </c>
      <c r="DK802" s="1465"/>
      <c r="DL802" s="1465"/>
      <c r="DM802" s="1465"/>
      <c r="DN802" s="1466"/>
      <c r="DO802" s="1456">
        <f>DO797+DO777+DO753</f>
        <v>0</v>
      </c>
      <c r="DP802" s="1463"/>
      <c r="DQ802" s="1463"/>
      <c r="DR802" s="1463"/>
      <c r="DS802" s="1457"/>
      <c r="DT802" s="3"/>
      <c r="DU802" s="861">
        <f>DU755+DU800</f>
        <v>417</v>
      </c>
      <c r="DV802" s="57" t="s">
        <v>1863</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72"/>
      <c r="AA806" s="1373"/>
      <c r="AB806" s="1373"/>
      <c r="AC806" s="1373"/>
      <c r="AD806" s="1373"/>
      <c r="AE806" s="137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29"/>
      <c r="AA807" s="1373"/>
      <c r="AB807" s="1373"/>
      <c r="AC807" s="1373"/>
      <c r="AD807" s="1373"/>
      <c r="AE807" s="137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0"/>
      <c r="AA808" s="1520"/>
      <c r="AB808" s="1520"/>
      <c r="AC808" s="1520"/>
      <c r="AD808" s="1520"/>
      <c r="AE808" s="152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24">
        <f>'Subsidy Contract Calculation'!J40</f>
        <v>0</v>
      </c>
      <c r="AA809" s="1425"/>
      <c r="AB809" s="1425"/>
      <c r="AC809" s="1425"/>
      <c r="AD809" s="1425"/>
      <c r="AE809" s="142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47">
        <v>208890</v>
      </c>
      <c r="AA813" s="1448"/>
      <c r="AB813" s="1448"/>
      <c r="AC813" s="1448"/>
      <c r="AD813" s="1448"/>
      <c r="AE813" s="144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47"/>
      <c r="AA814" s="1448"/>
      <c r="AB814" s="1448"/>
      <c r="AC814" s="1448"/>
      <c r="AD814" s="1448"/>
      <c r="AE814" s="144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47"/>
      <c r="AA815" s="1448"/>
      <c r="AB815" s="1448"/>
      <c r="AC815" s="1448"/>
      <c r="AD815" s="1448"/>
      <c r="AE815" s="144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5" t="s">
        <v>2733</v>
      </c>
      <c r="Q816" s="1596"/>
      <c r="R816" s="1596"/>
      <c r="S816" s="1596"/>
      <c r="T816" s="1596"/>
      <c r="U816" s="1596"/>
      <c r="V816" s="1596"/>
      <c r="W816" s="1596"/>
      <c r="X816" s="1596"/>
      <c r="Y816" s="1597"/>
      <c r="Z816" s="1447">
        <v>320130</v>
      </c>
      <c r="AA816" s="1448"/>
      <c r="AB816" s="1448"/>
      <c r="AC816" s="1448"/>
      <c r="AD816" s="1448"/>
      <c r="AE816" s="144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24">
        <f>SUM(Z813:AE816)</f>
        <v>529020</v>
      </c>
      <c r="AA817" s="1425"/>
      <c r="AB817" s="1425"/>
      <c r="AC817" s="1425"/>
      <c r="AD817" s="1425"/>
      <c r="AE817" s="1426"/>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24">
        <f>Z817+Y801+Z809</f>
        <v>8587915.1999999993</v>
      </c>
      <c r="AA818" s="1425"/>
      <c r="AB818" s="1425"/>
      <c r="AC818" s="1425"/>
      <c r="AD818" s="1425"/>
      <c r="AE818" s="142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68" t="s">
        <v>126</v>
      </c>
      <c r="N823" s="1568"/>
      <c r="O823" s="1568"/>
      <c r="P823" s="1698"/>
      <c r="Q823" s="1616" t="s">
        <v>290</v>
      </c>
      <c r="R823" s="1616"/>
      <c r="S823" s="1616"/>
      <c r="T823" s="1616"/>
      <c r="U823" s="1616" t="s">
        <v>291</v>
      </c>
      <c r="V823" s="1616"/>
      <c r="W823" s="1616"/>
      <c r="X823" s="1616"/>
      <c r="Y823" s="1616" t="s">
        <v>292</v>
      </c>
      <c r="Z823" s="1616"/>
      <c r="AA823" s="1616"/>
      <c r="AB823" s="1616"/>
      <c r="AC823" s="1616" t="s">
        <v>361</v>
      </c>
      <c r="AD823" s="1616"/>
      <c r="AE823" s="1616"/>
      <c r="AF823" s="1616"/>
      <c r="AG823" s="1725" t="s">
        <v>335</v>
      </c>
      <c r="AH823" s="1725"/>
      <c r="AI823" s="1725"/>
      <c r="AJ823" s="1725"/>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72"/>
      <c r="N824" s="1572"/>
      <c r="O824" s="1572"/>
      <c r="P824" s="1639"/>
      <c r="Q824" s="1616"/>
      <c r="R824" s="1616"/>
      <c r="S824" s="1616"/>
      <c r="T824" s="1616"/>
      <c r="U824" s="1616"/>
      <c r="V824" s="1616"/>
      <c r="W824" s="1616"/>
      <c r="X824" s="1616"/>
      <c r="Y824" s="1616"/>
      <c r="Z824" s="1616"/>
      <c r="AA824" s="1616"/>
      <c r="AB824" s="1616"/>
      <c r="AC824" s="1616"/>
      <c r="AD824" s="1616"/>
      <c r="AE824" s="1616"/>
      <c r="AF824" s="1616"/>
      <c r="AG824" s="1725"/>
      <c r="AH824" s="1725"/>
      <c r="AI824" s="1725"/>
      <c r="AJ824" s="1725"/>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384" t="s">
        <v>40</v>
      </c>
      <c r="D825" s="1385"/>
      <c r="E825" s="1385"/>
      <c r="F825" s="1385"/>
      <c r="G825" s="1385"/>
      <c r="H825" s="1385"/>
      <c r="I825" s="48"/>
      <c r="J825" s="48"/>
      <c r="K825" s="48"/>
      <c r="L825" s="49"/>
      <c r="M825" s="1632"/>
      <c r="N825" s="1632"/>
      <c r="O825" s="1632"/>
      <c r="P825" s="1632"/>
      <c r="Q825" s="1632">
        <v>8</v>
      </c>
      <c r="R825" s="1632"/>
      <c r="S825" s="1632"/>
      <c r="T825" s="1632"/>
      <c r="U825" s="1632">
        <v>11</v>
      </c>
      <c r="V825" s="1632"/>
      <c r="W825" s="1632"/>
      <c r="X825" s="1632"/>
      <c r="Y825" s="1632"/>
      <c r="Z825" s="1632"/>
      <c r="AA825" s="1632"/>
      <c r="AB825" s="1632"/>
      <c r="AC825" s="1467"/>
      <c r="AD825" s="1468"/>
      <c r="AE825" s="1468"/>
      <c r="AF825" s="1469"/>
      <c r="AG825" s="1467"/>
      <c r="AH825" s="1468"/>
      <c r="AI825" s="1468"/>
      <c r="AJ825" s="1469"/>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42" t="s">
        <v>41</v>
      </c>
      <c r="D826" s="1641"/>
      <c r="E826" s="1641"/>
      <c r="F826" s="1641"/>
      <c r="G826" s="1641"/>
      <c r="H826" s="1641"/>
      <c r="I826" s="5"/>
      <c r="J826" s="5"/>
      <c r="K826" s="5"/>
      <c r="L826" s="46"/>
      <c r="M826" s="1632"/>
      <c r="N826" s="1632"/>
      <c r="O826" s="1632"/>
      <c r="P826" s="1632"/>
      <c r="Q826" s="1632"/>
      <c r="R826" s="1632"/>
      <c r="S826" s="1632"/>
      <c r="T826" s="1632"/>
      <c r="U826" s="1632"/>
      <c r="V826" s="1632"/>
      <c r="W826" s="1632"/>
      <c r="X826" s="1632"/>
      <c r="Y826" s="1632"/>
      <c r="Z826" s="1632"/>
      <c r="AA826" s="1632"/>
      <c r="AB826" s="1632"/>
      <c r="AC826" s="1467"/>
      <c r="AD826" s="1468"/>
      <c r="AE826" s="1468"/>
      <c r="AF826" s="1469"/>
      <c r="AG826" s="1467"/>
      <c r="AH826" s="1468"/>
      <c r="AI826" s="1468"/>
      <c r="AJ826" s="1469"/>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42" t="s">
        <v>42</v>
      </c>
      <c r="D827" s="1641"/>
      <c r="E827" s="1641"/>
      <c r="F827" s="1641"/>
      <c r="G827" s="1641"/>
      <c r="H827" s="1641"/>
      <c r="I827" s="60"/>
      <c r="J827" s="60"/>
      <c r="K827" s="60"/>
      <c r="L827" s="61"/>
      <c r="M827" s="1632"/>
      <c r="N827" s="1632"/>
      <c r="O827" s="1632"/>
      <c r="P827" s="1632"/>
      <c r="Q827" s="1632">
        <v>3</v>
      </c>
      <c r="R827" s="1632"/>
      <c r="S827" s="1632"/>
      <c r="T827" s="1632"/>
      <c r="U827" s="1632">
        <v>4</v>
      </c>
      <c r="V827" s="1632"/>
      <c r="W827" s="1632"/>
      <c r="X827" s="1632"/>
      <c r="Y827" s="1632"/>
      <c r="Z827" s="1632"/>
      <c r="AA827" s="1632"/>
      <c r="AB827" s="1632"/>
      <c r="AC827" s="1467"/>
      <c r="AD827" s="1468"/>
      <c r="AE827" s="1468"/>
      <c r="AF827" s="1469"/>
      <c r="AG827" s="1467"/>
      <c r="AH827" s="1468"/>
      <c r="AI827" s="1468"/>
      <c r="AJ827" s="1469"/>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42" t="s">
        <v>762</v>
      </c>
      <c r="D828" s="1641"/>
      <c r="E828" s="1641"/>
      <c r="F828" s="1641"/>
      <c r="G828" s="1641"/>
      <c r="H828" s="1641"/>
      <c r="I828" s="60"/>
      <c r="J828" s="60"/>
      <c r="K828" s="60"/>
      <c r="L828" s="61"/>
      <c r="M828" s="1632"/>
      <c r="N828" s="1632"/>
      <c r="O828" s="1632"/>
      <c r="P828" s="1632"/>
      <c r="Q828" s="1632"/>
      <c r="R828" s="1632"/>
      <c r="S828" s="1632"/>
      <c r="T828" s="1632"/>
      <c r="U828" s="1632"/>
      <c r="V828" s="1632"/>
      <c r="W828" s="1632"/>
      <c r="X828" s="1632"/>
      <c r="Y828" s="1632"/>
      <c r="Z828" s="1632"/>
      <c r="AA828" s="1632"/>
      <c r="AB828" s="1632"/>
      <c r="AC828" s="1467"/>
      <c r="AD828" s="1468"/>
      <c r="AE828" s="1468"/>
      <c r="AF828" s="1469"/>
      <c r="AG828" s="1467"/>
      <c r="AH828" s="1468"/>
      <c r="AI828" s="1468"/>
      <c r="AJ828" s="1469"/>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42" t="s">
        <v>459</v>
      </c>
      <c r="D829" s="1641"/>
      <c r="E829" s="1641"/>
      <c r="F829" s="1641"/>
      <c r="G829" s="1641"/>
      <c r="H829" s="1641"/>
      <c r="I829" s="60"/>
      <c r="J829" s="60"/>
      <c r="K829" s="60"/>
      <c r="L829" s="61"/>
      <c r="M829" s="1632"/>
      <c r="N829" s="1632"/>
      <c r="O829" s="1632"/>
      <c r="P829" s="1632"/>
      <c r="Q829" s="1632">
        <v>22</v>
      </c>
      <c r="R829" s="1632"/>
      <c r="S829" s="1632"/>
      <c r="T829" s="1632"/>
      <c r="U829" s="1632">
        <v>28</v>
      </c>
      <c r="V829" s="1632"/>
      <c r="W829" s="1632"/>
      <c r="X829" s="1632"/>
      <c r="Y829" s="1632"/>
      <c r="Z829" s="1632"/>
      <c r="AA829" s="1632"/>
      <c r="AB829" s="1632"/>
      <c r="AC829" s="1467"/>
      <c r="AD829" s="1468"/>
      <c r="AE829" s="1468"/>
      <c r="AF829" s="1469"/>
      <c r="AG829" s="1467"/>
      <c r="AH829" s="1468"/>
      <c r="AI829" s="1468"/>
      <c r="AJ829" s="1469"/>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40" t="s">
        <v>783</v>
      </c>
      <c r="D830" s="1641"/>
      <c r="E830" s="1641"/>
      <c r="F830" s="1641"/>
      <c r="G830" s="1641"/>
      <c r="H830" s="1641"/>
      <c r="I830" s="60"/>
      <c r="J830" s="60"/>
      <c r="K830" s="60"/>
      <c r="L830" s="61"/>
      <c r="M830" s="1632"/>
      <c r="N830" s="1632"/>
      <c r="O830" s="1632"/>
      <c r="P830" s="1632"/>
      <c r="Q830" s="1632"/>
      <c r="R830" s="1632"/>
      <c r="S830" s="1632"/>
      <c r="T830" s="1632"/>
      <c r="U830" s="1632"/>
      <c r="V830" s="1632"/>
      <c r="W830" s="1632"/>
      <c r="X830" s="1632"/>
      <c r="Y830" s="1632"/>
      <c r="Z830" s="1632"/>
      <c r="AA830" s="1632"/>
      <c r="AB830" s="1632"/>
      <c r="AC830" s="1467"/>
      <c r="AD830" s="1468"/>
      <c r="AE830" s="1468"/>
      <c r="AF830" s="1469"/>
      <c r="AG830" s="1467"/>
      <c r="AH830" s="1468"/>
      <c r="AI830" s="1468"/>
      <c r="AJ830" s="1469"/>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5" t="s">
        <v>2701</v>
      </c>
      <c r="G831" s="1596"/>
      <c r="H831" s="1596"/>
      <c r="I831" s="1596"/>
      <c r="J831" s="1596"/>
      <c r="K831" s="1596"/>
      <c r="L831" s="1596"/>
      <c r="M831" s="1632"/>
      <c r="N831" s="1632"/>
      <c r="O831" s="1632"/>
      <c r="P831" s="1632"/>
      <c r="Q831" s="1632">
        <v>10</v>
      </c>
      <c r="R831" s="1632"/>
      <c r="S831" s="1632"/>
      <c r="T831" s="1632"/>
      <c r="U831" s="1632">
        <v>13</v>
      </c>
      <c r="V831" s="1632"/>
      <c r="W831" s="1632"/>
      <c r="X831" s="1632"/>
      <c r="Y831" s="1632"/>
      <c r="Z831" s="1632"/>
      <c r="AA831" s="1632"/>
      <c r="AB831" s="1632"/>
      <c r="AC831" s="1467"/>
      <c r="AD831" s="1468"/>
      <c r="AE831" s="1468"/>
      <c r="AF831" s="1469"/>
      <c r="AG831" s="1467"/>
      <c r="AH831" s="1468"/>
      <c r="AI831" s="1468"/>
      <c r="AJ831" s="1469"/>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609" t="s">
        <v>124</v>
      </c>
      <c r="D832" s="1610"/>
      <c r="E832" s="1610"/>
      <c r="F832" s="1610"/>
      <c r="G832" s="1610"/>
      <c r="H832" s="1610"/>
      <c r="I832" s="1610"/>
      <c r="J832" s="1610"/>
      <c r="K832" s="1610"/>
      <c r="L832" s="1611"/>
      <c r="M832" s="1625">
        <f>SUM(M825:P831)</f>
        <v>0</v>
      </c>
      <c r="N832" s="1625"/>
      <c r="O832" s="1625"/>
      <c r="P832" s="1625"/>
      <c r="Q832" s="1625">
        <f>SUM(Q825:T831)</f>
        <v>43</v>
      </c>
      <c r="R832" s="1625"/>
      <c r="S832" s="1625"/>
      <c r="T832" s="1625"/>
      <c r="U832" s="1625">
        <f>SUM(U825:X831)</f>
        <v>56</v>
      </c>
      <c r="V832" s="1625"/>
      <c r="W832" s="1625"/>
      <c r="X832" s="1625"/>
      <c r="Y832" s="1625">
        <f>SUM(Y825:AB831)</f>
        <v>0</v>
      </c>
      <c r="Z832" s="1625"/>
      <c r="AA832" s="1625"/>
      <c r="AB832" s="1625"/>
      <c r="AC832" s="1625">
        <f>SUM(AC825:AF831)</f>
        <v>0</v>
      </c>
      <c r="AD832" s="1625"/>
      <c r="AE832" s="1625"/>
      <c r="AF832" s="1625"/>
      <c r="AG832" s="1625">
        <f>SUM(AG825:AJ831)</f>
        <v>0</v>
      </c>
      <c r="AH832" s="1625"/>
      <c r="AI832" s="1625"/>
      <c r="AJ832" s="1625"/>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35" t="s">
        <v>2700</v>
      </c>
      <c r="D837" s="1636"/>
      <c r="E837" s="1636"/>
      <c r="F837" s="1636"/>
      <c r="G837" s="1636"/>
      <c r="H837" s="1636"/>
      <c r="I837" s="1636"/>
      <c r="J837" s="1636"/>
      <c r="K837" s="1636"/>
      <c r="L837" s="1636"/>
      <c r="M837" s="1636"/>
      <c r="N837" s="1636"/>
      <c r="O837" s="1636"/>
      <c r="P837" s="1636"/>
      <c r="Q837" s="1636"/>
      <c r="R837" s="1636"/>
      <c r="S837" s="1636"/>
      <c r="T837" s="1636"/>
      <c r="U837" s="1636"/>
      <c r="V837" s="1636"/>
      <c r="W837" s="1636"/>
      <c r="X837" s="1636"/>
      <c r="Y837" s="1636"/>
      <c r="Z837" s="1636"/>
      <c r="AA837" s="1636"/>
      <c r="AB837" s="1636"/>
      <c r="AC837" s="1636"/>
      <c r="AD837" s="1636"/>
      <c r="AE837" s="1636"/>
      <c r="AF837" s="1636"/>
      <c r="AG837" s="1636"/>
      <c r="AH837" s="1636"/>
      <c r="AI837" s="1636"/>
      <c r="AJ837" s="1637"/>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2"/>
      <c r="BJ841" s="1652"/>
      <c r="BK841" s="1652"/>
      <c r="BL841" s="1652"/>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73">
        <v>10000</v>
      </c>
      <c r="X842" s="1473"/>
      <c r="Y842" s="1473"/>
      <c r="Z842" s="1473"/>
      <c r="AA842" s="1473"/>
      <c r="AB842" s="1473"/>
      <c r="AC842" s="1473"/>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73">
        <v>8000</v>
      </c>
      <c r="X843" s="1473"/>
      <c r="Y843" s="1473"/>
      <c r="Z843" s="1473"/>
      <c r="AA843" s="1473"/>
      <c r="AB843" s="1473"/>
      <c r="AC843" s="1473"/>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73">
        <v>11000</v>
      </c>
      <c r="X844" s="1473"/>
      <c r="Y844" s="1473"/>
      <c r="Z844" s="1473"/>
      <c r="AA844" s="1473"/>
      <c r="AB844" s="1473"/>
      <c r="AC844" s="1473"/>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73">
        <v>27600</v>
      </c>
      <c r="X845" s="1473"/>
      <c r="Y845" s="1473"/>
      <c r="Z845" s="1473"/>
      <c r="AA845" s="1473"/>
      <c r="AB845" s="1473"/>
      <c r="AC845" s="1473"/>
      <c r="AZ845" s="30"/>
      <c r="BA845" s="30"/>
      <c r="BB845" s="14"/>
      <c r="BC845" s="14"/>
      <c r="BD845" s="14"/>
      <c r="BE845" s="14"/>
      <c r="BF845" s="14"/>
      <c r="BG845" s="14"/>
      <c r="BH845" s="14"/>
      <c r="BI845" s="14"/>
      <c r="BJ845" s="14"/>
      <c r="BK845" s="14"/>
      <c r="BL845" s="14"/>
    </row>
    <row r="846" spans="1:64" ht="12.95" customHeight="1">
      <c r="J846" s="45" t="s">
        <v>170</v>
      </c>
      <c r="K846" s="5"/>
      <c r="L846" s="5"/>
      <c r="M846" s="1595" t="s">
        <v>2735</v>
      </c>
      <c r="N846" s="1596"/>
      <c r="O846" s="1596"/>
      <c r="P846" s="1596"/>
      <c r="Q846" s="1596"/>
      <c r="R846" s="1596"/>
      <c r="S846" s="1596"/>
      <c r="T846" s="1596"/>
      <c r="U846" s="1596"/>
      <c r="V846" s="1597"/>
      <c r="W846" s="1473">
        <v>66600.155520995337</v>
      </c>
      <c r="X846" s="1473"/>
      <c r="Y846" s="1473"/>
      <c r="Z846" s="1473"/>
      <c r="AA846" s="1473"/>
      <c r="AB846" s="1473"/>
      <c r="AC846" s="1473"/>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24">
        <f>SUM(W842:W846)</f>
        <v>123200.15552099534</v>
      </c>
      <c r="X847" s="1425"/>
      <c r="Y847" s="1425"/>
      <c r="Z847" s="1425"/>
      <c r="AA847" s="1425"/>
      <c r="AB847" s="1425"/>
      <c r="AC847" s="1426"/>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17"/>
      <c r="BH848" s="1617"/>
      <c r="BI848" s="1617"/>
      <c r="BJ848" s="1617"/>
      <c r="BK848" s="1617"/>
      <c r="BL848" s="1617"/>
    </row>
    <row r="849" spans="3:55" ht="12.95" customHeight="1">
      <c r="C849" s="2" t="s">
        <v>344</v>
      </c>
      <c r="J849" s="1609" t="s">
        <v>345</v>
      </c>
      <c r="K849" s="1610"/>
      <c r="L849" s="1610"/>
      <c r="M849" s="1610"/>
      <c r="N849" s="1610"/>
      <c r="O849" s="1610"/>
      <c r="P849" s="1610"/>
      <c r="Q849" s="1610"/>
      <c r="R849" s="1610"/>
      <c r="S849" s="1610"/>
      <c r="T849" s="1610"/>
      <c r="U849" s="1610"/>
      <c r="V849" s="1611"/>
      <c r="W849" s="1447">
        <v>262330.26540000003</v>
      </c>
      <c r="X849" s="1448"/>
      <c r="Y849" s="1448"/>
      <c r="Z849" s="1448"/>
      <c r="AA849" s="1448"/>
      <c r="AB849" s="1448"/>
      <c r="AC849" s="1449"/>
      <c r="AD849" s="533"/>
      <c r="AZ849" s="30"/>
      <c r="BA849" s="30"/>
      <c r="BB849" s="14"/>
      <c r="BC849" s="14"/>
    </row>
    <row r="850" spans="3:55" ht="12.95" customHeight="1">
      <c r="AD850" s="533"/>
      <c r="AZ850" s="30"/>
      <c r="BA850" s="30"/>
      <c r="BB850" s="14"/>
      <c r="BC850" s="14"/>
    </row>
    <row r="851" spans="3:55" ht="12.95" customHeight="1">
      <c r="C851" s="2" t="s">
        <v>561</v>
      </c>
      <c r="J851" s="45" t="s">
        <v>352</v>
      </c>
      <c r="K851" s="5"/>
      <c r="L851" s="5"/>
      <c r="M851" s="5"/>
      <c r="N851" s="5"/>
      <c r="O851" s="5"/>
      <c r="P851" s="5"/>
      <c r="Q851" s="5"/>
      <c r="R851" s="5"/>
      <c r="S851" s="5"/>
      <c r="T851" s="5"/>
      <c r="U851" s="5"/>
      <c r="V851" s="46"/>
      <c r="W851" s="1633"/>
      <c r="X851" s="1633"/>
      <c r="Y851" s="1633"/>
      <c r="Z851" s="1633"/>
      <c r="AA851" s="1633"/>
      <c r="AB851" s="1633"/>
      <c r="AC851" s="1633"/>
      <c r="AZ851" s="1710"/>
      <c r="BA851" s="1710"/>
      <c r="BB851" s="14"/>
      <c r="BC851" s="14"/>
    </row>
    <row r="852" spans="3:55" ht="12.95" customHeight="1">
      <c r="J852" s="45" t="s">
        <v>351</v>
      </c>
      <c r="K852" s="5"/>
      <c r="L852" s="5"/>
      <c r="M852" s="5"/>
      <c r="N852" s="5"/>
      <c r="O852" s="5"/>
      <c r="P852" s="5"/>
      <c r="Q852" s="5"/>
      <c r="R852" s="5"/>
      <c r="S852" s="5"/>
      <c r="T852" s="5"/>
      <c r="U852" s="5"/>
      <c r="V852" s="46"/>
      <c r="W852" s="1633"/>
      <c r="X852" s="1633"/>
      <c r="Y852" s="1633"/>
      <c r="Z852" s="1633"/>
      <c r="AA852" s="1633"/>
      <c r="AB852" s="1633"/>
      <c r="AC852" s="1633"/>
      <c r="AZ852" s="30"/>
      <c r="BA852" s="30"/>
      <c r="BB852" s="14"/>
      <c r="BC852" s="14"/>
    </row>
    <row r="853" spans="3:55" ht="12.95" customHeight="1">
      <c r="J853" s="45" t="s">
        <v>459</v>
      </c>
      <c r="K853" s="5"/>
      <c r="L853" s="5"/>
      <c r="M853" s="5"/>
      <c r="N853" s="5"/>
      <c r="O853" s="5"/>
      <c r="P853" s="5"/>
      <c r="Q853" s="5"/>
      <c r="R853" s="5"/>
      <c r="S853" s="5"/>
      <c r="T853" s="5"/>
      <c r="U853" s="5"/>
      <c r="V853" s="46"/>
      <c r="W853" s="1633">
        <v>86900</v>
      </c>
      <c r="X853" s="1633"/>
      <c r="Y853" s="1633"/>
      <c r="Z853" s="1633"/>
      <c r="AA853" s="1633"/>
      <c r="AB853" s="1633"/>
      <c r="AC853" s="1633"/>
      <c r="AZ853" s="30"/>
      <c r="BA853" s="30"/>
      <c r="BB853" s="14"/>
      <c r="BC853" s="14"/>
    </row>
    <row r="854" spans="3:55" ht="12.95" customHeight="1">
      <c r="J854" s="62" t="s">
        <v>620</v>
      </c>
      <c r="K854" s="5"/>
      <c r="L854" s="5"/>
      <c r="M854" s="5"/>
      <c r="N854" s="5"/>
      <c r="O854" s="5"/>
      <c r="P854" s="5"/>
      <c r="Q854" s="5"/>
      <c r="R854" s="5"/>
      <c r="S854" s="5"/>
      <c r="T854" s="5"/>
      <c r="U854" s="5"/>
      <c r="V854" s="46"/>
      <c r="W854" s="1633">
        <v>221200</v>
      </c>
      <c r="X854" s="1633"/>
      <c r="Y854" s="1633"/>
      <c r="Z854" s="1633"/>
      <c r="AA854" s="1633"/>
      <c r="AB854" s="1633"/>
      <c r="AC854" s="1633"/>
      <c r="AZ854" s="34"/>
      <c r="BA854" s="34"/>
      <c r="BB854" s="34"/>
      <c r="BC854" s="34"/>
    </row>
    <row r="855" spans="3:55" ht="12.95" customHeight="1">
      <c r="J855" s="63"/>
      <c r="K855" s="48"/>
      <c r="L855" s="48"/>
      <c r="M855" s="48"/>
      <c r="N855" s="48"/>
      <c r="O855" s="48"/>
      <c r="P855" s="48"/>
      <c r="Q855" s="48"/>
      <c r="R855" s="48"/>
      <c r="S855" s="48"/>
      <c r="T855" s="48"/>
      <c r="U855" s="48"/>
      <c r="V855" s="54" t="s">
        <v>272</v>
      </c>
      <c r="W855" s="1699">
        <f>SUM(W851:W854)</f>
        <v>308100</v>
      </c>
      <c r="X855" s="1699"/>
      <c r="Y855" s="1699"/>
      <c r="Z855" s="1699"/>
      <c r="AA855" s="1699"/>
      <c r="AB855" s="1699"/>
      <c r="AC855" s="1699"/>
      <c r="AZ855" s="34"/>
      <c r="BA855" s="34"/>
      <c r="BB855" s="34"/>
      <c r="BC855" s="34"/>
    </row>
    <row r="856" spans="3:55" ht="12.95" customHeight="1">
      <c r="AZ856" s="34"/>
      <c r="BA856" s="34"/>
      <c r="BB856" s="34"/>
      <c r="BC856" s="34"/>
    </row>
    <row r="857" spans="3:55" ht="12.95" customHeight="1">
      <c r="C857" s="2" t="s">
        <v>346</v>
      </c>
      <c r="J857" s="45" t="s">
        <v>619</v>
      </c>
      <c r="K857" s="5"/>
      <c r="L857" s="5"/>
      <c r="M857" s="5"/>
      <c r="N857" s="5"/>
      <c r="O857" s="5"/>
      <c r="P857" s="5"/>
      <c r="Q857" s="5"/>
      <c r="R857" s="5"/>
      <c r="S857" s="5"/>
      <c r="T857" s="5"/>
      <c r="U857" s="5"/>
      <c r="V857" s="46"/>
      <c r="W857" s="1619">
        <v>247360</v>
      </c>
      <c r="X857" s="1620"/>
      <c r="Y857" s="1620"/>
      <c r="Z857" s="1620"/>
      <c r="AA857" s="1620"/>
      <c r="AB857" s="1620"/>
      <c r="AC857" s="1621"/>
      <c r="AD857" s="528"/>
      <c r="AZ857" s="34"/>
      <c r="BA857" s="34"/>
      <c r="BB857" s="34"/>
      <c r="BC857" s="34"/>
    </row>
    <row r="858" spans="3:55" ht="12.95" customHeight="1">
      <c r="C858" s="2" t="s">
        <v>347</v>
      </c>
      <c r="J858" s="121" t="s">
        <v>1654</v>
      </c>
      <c r="K858" s="5"/>
      <c r="L858" s="5"/>
      <c r="M858" s="5"/>
      <c r="N858" s="5"/>
      <c r="O858" s="5"/>
      <c r="P858" s="5"/>
      <c r="Q858" s="5"/>
      <c r="R858" s="5"/>
      <c r="S858" s="5"/>
      <c r="T858" s="1722">
        <v>5</v>
      </c>
      <c r="U858" s="1723"/>
      <c r="V858" s="1724"/>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19">
        <v>194000</v>
      </c>
      <c r="X859" s="1620"/>
      <c r="Y859" s="1620"/>
      <c r="Z859" s="1620"/>
      <c r="AA859" s="1620"/>
      <c r="AB859" s="1620"/>
      <c r="AC859" s="1621"/>
      <c r="AD859" s="533"/>
      <c r="AZ859" s="34"/>
      <c r="BA859" s="34"/>
      <c r="BB859" s="34"/>
      <c r="BC859" s="34"/>
    </row>
    <row r="860" spans="3:55" ht="12.95" customHeight="1">
      <c r="C860" s="2"/>
      <c r="J860" s="121" t="s">
        <v>1655</v>
      </c>
      <c r="K860" s="5"/>
      <c r="L860" s="5"/>
      <c r="M860" s="5"/>
      <c r="N860" s="5"/>
      <c r="O860" s="5"/>
      <c r="P860" s="5"/>
      <c r="Q860" s="5"/>
      <c r="R860" s="5"/>
      <c r="S860" s="5"/>
      <c r="T860" s="1722">
        <v>4</v>
      </c>
      <c r="U860" s="1723"/>
      <c r="V860" s="1724"/>
      <c r="W860" s="874"/>
      <c r="X860" s="875"/>
      <c r="Y860" s="875"/>
      <c r="Z860" s="875"/>
      <c r="AA860" s="875"/>
      <c r="AB860" s="875"/>
      <c r="AC860" s="876"/>
      <c r="AD860" s="533"/>
      <c r="AZ860" s="34"/>
      <c r="BA860" s="34"/>
      <c r="BB860" s="34"/>
      <c r="BC860" s="34"/>
    </row>
    <row r="861" spans="3:55" ht="12.95" customHeight="1">
      <c r="J861" s="45" t="s">
        <v>170</v>
      </c>
      <c r="K861" s="5"/>
      <c r="L861" s="5"/>
      <c r="M861" s="1595" t="s">
        <v>2737</v>
      </c>
      <c r="N861" s="1596"/>
      <c r="O861" s="1596"/>
      <c r="P861" s="1596"/>
      <c r="Q861" s="1596"/>
      <c r="R861" s="1596"/>
      <c r="S861" s="1596"/>
      <c r="T861" s="1596"/>
      <c r="U861" s="1596"/>
      <c r="V861" s="1597"/>
      <c r="W861" s="1619">
        <v>320130.95999999996</v>
      </c>
      <c r="X861" s="1620"/>
      <c r="Y861" s="1620"/>
      <c r="Z861" s="1620"/>
      <c r="AA861" s="1620"/>
      <c r="AB861" s="1620"/>
      <c r="AC861" s="1621"/>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01">
        <f>SUM(W857:W861)</f>
        <v>761490.96</v>
      </c>
      <c r="X862" s="1702"/>
      <c r="Y862" s="1702"/>
      <c r="Z862" s="1702"/>
      <c r="AA862" s="1702"/>
      <c r="AB862" s="1702"/>
      <c r="AC862" s="1703"/>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19">
        <v>395000</v>
      </c>
      <c r="X863" s="1620"/>
      <c r="Y863" s="1620"/>
      <c r="Z863" s="1620"/>
      <c r="AA863" s="1620"/>
      <c r="AB863" s="1620"/>
      <c r="AC863" s="1621"/>
      <c r="AU863" s="14"/>
      <c r="AZ863" s="34"/>
      <c r="BA863" s="34"/>
      <c r="BB863" s="34"/>
      <c r="BC863" s="34"/>
    </row>
    <row r="864" spans="3:55" ht="12.95" customHeight="1">
      <c r="J864" s="512"/>
      <c r="AU864" s="14"/>
      <c r="AZ864" s="34"/>
      <c r="BA864" s="34"/>
      <c r="BB864" s="34"/>
      <c r="BC864" s="34"/>
    </row>
    <row r="865" spans="3:55" ht="12.95" customHeight="1">
      <c r="C865" s="2" t="s">
        <v>390</v>
      </c>
      <c r="J865" s="45" t="s">
        <v>617</v>
      </c>
      <c r="K865" s="5"/>
      <c r="L865" s="5"/>
      <c r="M865" s="5"/>
      <c r="N865" s="5"/>
      <c r="O865" s="5"/>
      <c r="P865" s="5"/>
      <c r="Q865" s="5"/>
      <c r="R865" s="5"/>
      <c r="S865" s="5"/>
      <c r="T865" s="5"/>
      <c r="U865" s="5"/>
      <c r="V865" s="46"/>
      <c r="W865" s="1473">
        <v>79000</v>
      </c>
      <c r="X865" s="1473"/>
      <c r="Y865" s="1473"/>
      <c r="Z865" s="1473"/>
      <c r="AA865" s="1473"/>
      <c r="AB865" s="1473"/>
      <c r="AC865" s="1473"/>
      <c r="AU865" s="14"/>
      <c r="AZ865" s="34"/>
      <c r="BA865" s="34"/>
      <c r="BB865" s="34"/>
      <c r="BC865" s="34"/>
    </row>
    <row r="866" spans="3:55" ht="12.95" customHeight="1">
      <c r="J866" s="45" t="s">
        <v>522</v>
      </c>
      <c r="K866" s="5"/>
      <c r="L866" s="5"/>
      <c r="M866" s="5"/>
      <c r="N866" s="5"/>
      <c r="O866" s="5"/>
      <c r="P866" s="5"/>
      <c r="Q866" s="5"/>
      <c r="R866" s="5"/>
      <c r="S866" s="5"/>
      <c r="T866" s="5"/>
      <c r="U866" s="5"/>
      <c r="V866" s="46"/>
      <c r="W866" s="1473">
        <v>90850</v>
      </c>
      <c r="X866" s="1473"/>
      <c r="Y866" s="1473"/>
      <c r="Z866" s="1473"/>
      <c r="AA866" s="1473"/>
      <c r="AB866" s="1473"/>
      <c r="AC866" s="1473"/>
      <c r="AU866" s="4"/>
      <c r="AZ866" s="34"/>
      <c r="BA866" s="34"/>
      <c r="BB866" s="34"/>
      <c r="BC866" s="34"/>
    </row>
    <row r="867" spans="3:55" ht="12.95" customHeight="1">
      <c r="J867" s="45" t="s">
        <v>521</v>
      </c>
      <c r="K867" s="5"/>
      <c r="L867" s="5"/>
      <c r="M867" s="5"/>
      <c r="N867" s="5"/>
      <c r="O867" s="5"/>
      <c r="P867" s="5"/>
      <c r="Q867" s="5"/>
      <c r="R867" s="5"/>
      <c r="S867" s="5"/>
      <c r="T867" s="5"/>
      <c r="U867" s="5"/>
      <c r="V867" s="46"/>
      <c r="W867" s="1473">
        <v>69000</v>
      </c>
      <c r="X867" s="1473"/>
      <c r="Y867" s="1473"/>
      <c r="Z867" s="1473"/>
      <c r="AA867" s="1473"/>
      <c r="AB867" s="1473"/>
      <c r="AC867" s="1473"/>
      <c r="AU867" s="4"/>
      <c r="AZ867" s="34"/>
      <c r="BA867" s="34"/>
      <c r="BB867" s="34"/>
      <c r="BC867" s="34"/>
    </row>
    <row r="868" spans="3:55" ht="12.95" customHeight="1">
      <c r="J868" s="45" t="s">
        <v>520</v>
      </c>
      <c r="K868" s="5"/>
      <c r="L868" s="5"/>
      <c r="M868" s="5"/>
      <c r="N868" s="5"/>
      <c r="O868" s="5"/>
      <c r="P868" s="5"/>
      <c r="Q868" s="5"/>
      <c r="R868" s="5"/>
      <c r="S868" s="5"/>
      <c r="T868" s="5"/>
      <c r="U868" s="5"/>
      <c r="V868" s="46"/>
      <c r="W868" s="1473">
        <v>15000</v>
      </c>
      <c r="X868" s="1473"/>
      <c r="Y868" s="1473"/>
      <c r="Z868" s="1473"/>
      <c r="AA868" s="1473"/>
      <c r="AB868" s="1473"/>
      <c r="AC868" s="1473"/>
      <c r="AU868" s="4"/>
      <c r="AZ868" s="34"/>
      <c r="BA868" s="34"/>
      <c r="BB868" s="34"/>
      <c r="BC868" s="34"/>
    </row>
    <row r="869" spans="3:55" ht="12.95" customHeight="1">
      <c r="J869" s="45" t="s">
        <v>519</v>
      </c>
      <c r="K869" s="5"/>
      <c r="L869" s="5"/>
      <c r="M869" s="5"/>
      <c r="N869" s="5"/>
      <c r="O869" s="5"/>
      <c r="P869" s="5"/>
      <c r="Q869" s="5"/>
      <c r="R869" s="5"/>
      <c r="S869" s="5"/>
      <c r="T869" s="5"/>
      <c r="U869" s="5"/>
      <c r="V869" s="46"/>
      <c r="W869" s="1473">
        <v>26400</v>
      </c>
      <c r="X869" s="1473"/>
      <c r="Y869" s="1473"/>
      <c r="Z869" s="1473"/>
      <c r="AA869" s="1473"/>
      <c r="AB869" s="1473"/>
      <c r="AC869" s="1473"/>
      <c r="AU869" s="4"/>
      <c r="AZ869" s="34"/>
      <c r="BA869" s="34"/>
      <c r="BB869" s="34"/>
      <c r="BC869" s="34"/>
    </row>
    <row r="870" spans="3:55" ht="12.95" customHeight="1">
      <c r="J870" s="45" t="s">
        <v>518</v>
      </c>
      <c r="K870" s="5"/>
      <c r="L870" s="5"/>
      <c r="M870" s="5"/>
      <c r="N870" s="5"/>
      <c r="O870" s="5"/>
      <c r="P870" s="5"/>
      <c r="Q870" s="5"/>
      <c r="R870" s="5"/>
      <c r="S870" s="5"/>
      <c r="T870" s="5"/>
      <c r="U870" s="5"/>
      <c r="V870" s="46"/>
      <c r="W870" s="1473">
        <v>30000</v>
      </c>
      <c r="X870" s="1473"/>
      <c r="Y870" s="1473"/>
      <c r="Z870" s="1473"/>
      <c r="AA870" s="1473"/>
      <c r="AB870" s="1473"/>
      <c r="AC870" s="1473"/>
      <c r="AU870" s="4"/>
      <c r="AZ870" s="34"/>
      <c r="BA870" s="34"/>
      <c r="BB870" s="34"/>
      <c r="BC870" s="34"/>
    </row>
    <row r="871" spans="3:55" ht="12.95" customHeight="1">
      <c r="J871" s="45" t="s">
        <v>170</v>
      </c>
      <c r="K871" s="5"/>
      <c r="L871" s="5"/>
      <c r="M871" s="1595" t="s">
        <v>2734</v>
      </c>
      <c r="N871" s="1596"/>
      <c r="O871" s="1596"/>
      <c r="P871" s="1596"/>
      <c r="Q871" s="1596"/>
      <c r="R871" s="1596"/>
      <c r="S871" s="1596"/>
      <c r="T871" s="1596"/>
      <c r="U871" s="1596"/>
      <c r="V871" s="1597"/>
      <c r="W871" s="1473">
        <v>14800</v>
      </c>
      <c r="X871" s="1473"/>
      <c r="Y871" s="1473"/>
      <c r="Z871" s="1473"/>
      <c r="AA871" s="1473"/>
      <c r="AB871" s="1473"/>
      <c r="AC871" s="1473"/>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34">
        <f>SUM(W865:W871)</f>
        <v>325050</v>
      </c>
      <c r="X872" s="1634"/>
      <c r="Y872" s="1634"/>
      <c r="Z872" s="1634"/>
      <c r="AA872" s="1634"/>
      <c r="AB872" s="1634"/>
      <c r="AC872" s="163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1242</v>
      </c>
      <c r="J874" s="45" t="s">
        <v>170</v>
      </c>
      <c r="K874" s="5"/>
      <c r="L874" s="5"/>
      <c r="M874" s="1595" t="s">
        <v>334</v>
      </c>
      <c r="N874" s="1596"/>
      <c r="O874" s="1596"/>
      <c r="P874" s="1596"/>
      <c r="Q874" s="1596"/>
      <c r="R874" s="1596"/>
      <c r="S874" s="1596"/>
      <c r="T874" s="1596"/>
      <c r="U874" s="1596"/>
      <c r="V874" s="1597"/>
      <c r="W874" s="1447"/>
      <c r="X874" s="1448"/>
      <c r="Y874" s="1448"/>
      <c r="Z874" s="1448"/>
      <c r="AA874" s="1448"/>
      <c r="AB874" s="1448"/>
      <c r="AC874" s="1449"/>
      <c r="AD874" s="533"/>
      <c r="AV874" s="14"/>
      <c r="AW874" s="14"/>
      <c r="AX874" s="14"/>
      <c r="AY874" s="14"/>
      <c r="AZ874" s="34"/>
      <c r="BA874" s="34"/>
      <c r="BB874" s="34"/>
      <c r="BC874" s="34"/>
    </row>
    <row r="875" spans="3:55" ht="12.95" customHeight="1">
      <c r="C875" s="2" t="s">
        <v>1243</v>
      </c>
      <c r="J875" s="45" t="s">
        <v>170</v>
      </c>
      <c r="K875" s="5"/>
      <c r="L875" s="5"/>
      <c r="M875" s="1595" t="s">
        <v>334</v>
      </c>
      <c r="N875" s="1596"/>
      <c r="O875" s="1596"/>
      <c r="P875" s="1596"/>
      <c r="Q875" s="1596"/>
      <c r="R875" s="1596"/>
      <c r="S875" s="1596"/>
      <c r="T875" s="1596"/>
      <c r="U875" s="1596"/>
      <c r="V875" s="1597"/>
      <c r="W875" s="1447"/>
      <c r="X875" s="1448"/>
      <c r="Y875" s="1448"/>
      <c r="Z875" s="1448"/>
      <c r="AA875" s="1448"/>
      <c r="AB875" s="1448"/>
      <c r="AC875" s="1449"/>
      <c r="AD875" s="533"/>
      <c r="AV875" s="14"/>
      <c r="AW875" s="14"/>
      <c r="AX875" s="14"/>
      <c r="AY875" s="14"/>
      <c r="AZ875" s="34"/>
      <c r="BA875" s="34"/>
      <c r="BB875" s="34"/>
      <c r="BC875" s="34"/>
    </row>
    <row r="876" spans="3:55" ht="12.95" customHeight="1">
      <c r="J876" s="45" t="s">
        <v>170</v>
      </c>
      <c r="K876" s="5"/>
      <c r="L876" s="5"/>
      <c r="M876" s="1595" t="s">
        <v>334</v>
      </c>
      <c r="N876" s="1596"/>
      <c r="O876" s="1596"/>
      <c r="P876" s="1596"/>
      <c r="Q876" s="1596"/>
      <c r="R876" s="1596"/>
      <c r="S876" s="1596"/>
      <c r="T876" s="1596"/>
      <c r="U876" s="1596"/>
      <c r="V876" s="1597"/>
      <c r="W876" s="1447"/>
      <c r="X876" s="1448"/>
      <c r="Y876" s="1448"/>
      <c r="Z876" s="1448"/>
      <c r="AA876" s="1448"/>
      <c r="AB876" s="1448"/>
      <c r="AC876" s="144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5" t="s">
        <v>334</v>
      </c>
      <c r="N877" s="1596"/>
      <c r="O877" s="1596"/>
      <c r="P877" s="1596"/>
      <c r="Q877" s="1596"/>
      <c r="R877" s="1596"/>
      <c r="S877" s="1596"/>
      <c r="T877" s="1596"/>
      <c r="U877" s="1596"/>
      <c r="V877" s="1597"/>
      <c r="W877" s="1447"/>
      <c r="X877" s="1448"/>
      <c r="Y877" s="1448"/>
      <c r="Z877" s="1448"/>
      <c r="AA877" s="1448"/>
      <c r="AB877" s="1448"/>
      <c r="AC877" s="144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5" t="s">
        <v>334</v>
      </c>
      <c r="N878" s="1596"/>
      <c r="O878" s="1596"/>
      <c r="P878" s="1596"/>
      <c r="Q878" s="1596"/>
      <c r="R878" s="1596"/>
      <c r="S878" s="1596"/>
      <c r="T878" s="1596"/>
      <c r="U878" s="1596"/>
      <c r="V878" s="1597"/>
      <c r="W878" s="1447"/>
      <c r="X878" s="1448"/>
      <c r="Y878" s="1448"/>
      <c r="Z878" s="1448"/>
      <c r="AA878" s="1448"/>
      <c r="AB878" s="1448"/>
      <c r="AC878" s="144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24">
        <f>SUM(W874:W878)</f>
        <v>0</v>
      </c>
      <c r="X879" s="1425"/>
      <c r="Y879" s="1425"/>
      <c r="Z879" s="1425"/>
      <c r="AA879" s="1425"/>
      <c r="AB879" s="1425"/>
      <c r="AC879" s="1426"/>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25">
        <f>W847+W855+W862+W863+W872+W879+W849</f>
        <v>2175171.3809209955</v>
      </c>
      <c r="AD883" s="1425"/>
      <c r="AE883" s="1425"/>
      <c r="AF883" s="1425"/>
      <c r="AG883" s="1425"/>
      <c r="AH883" s="1426"/>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04">
        <f>O797+O777+G753</f>
        <v>395</v>
      </c>
      <c r="AD884" s="1704"/>
      <c r="AE884" s="1704"/>
      <c r="AF884" s="1704"/>
      <c r="AG884" s="1704"/>
      <c r="AH884" s="1705"/>
      <c r="AL884" s="4"/>
      <c r="AM884" s="4"/>
      <c r="AN884" s="4"/>
      <c r="AO884" s="4"/>
      <c r="AP884" s="4"/>
      <c r="AQ884" s="4"/>
      <c r="AR884" s="4"/>
      <c r="AS884" s="4"/>
      <c r="AT884" s="4"/>
      <c r="AZ884" s="34"/>
      <c r="BA884" s="34"/>
      <c r="BB884" s="34"/>
      <c r="BC884" s="34"/>
    </row>
    <row r="885" spans="3:55" ht="12.95" customHeight="1">
      <c r="C885" s="41"/>
      <c r="D885" s="42"/>
      <c r="E885" s="1708" t="s">
        <v>32</v>
      </c>
      <c r="F885" s="1708"/>
      <c r="G885" s="1708"/>
      <c r="H885" s="1708"/>
      <c r="I885" s="1708"/>
      <c r="J885" s="1708"/>
      <c r="K885" s="1708"/>
      <c r="L885" s="1708"/>
      <c r="M885" s="1708"/>
      <c r="N885" s="1708"/>
      <c r="O885" s="1708"/>
      <c r="P885" s="1708"/>
      <c r="Q885" s="1708"/>
      <c r="R885" s="1708"/>
      <c r="S885" s="1708"/>
      <c r="T885" s="1708"/>
      <c r="U885" s="1708"/>
      <c r="V885" s="1708"/>
      <c r="W885" s="1708"/>
      <c r="X885" s="1708"/>
      <c r="Y885" s="1708"/>
      <c r="Z885" s="1708"/>
      <c r="AA885" s="1708"/>
      <c r="AB885" s="1709"/>
      <c r="AC885" s="1634">
        <f>IF(ISERROR((ROUNDDOWN(AC883/AC884,0))),0,(ROUNDDOWN(AC883/AC884,0)))</f>
        <v>5506</v>
      </c>
      <c r="AD885" s="1634"/>
      <c r="AE885" s="1634"/>
      <c r="AF885" s="1634"/>
      <c r="AG885" s="1634"/>
      <c r="AH885" s="163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06">
        <v>1877478.6458452498</v>
      </c>
      <c r="AD886" s="1707"/>
      <c r="AE886" s="1707"/>
      <c r="AF886" s="1707"/>
      <c r="AG886" s="1707"/>
      <c r="AH886" s="170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449"/>
      <c r="AD887" s="1473"/>
      <c r="AE887" s="1473"/>
      <c r="AF887" s="1473"/>
      <c r="AG887" s="1473"/>
      <c r="AH887" s="1473"/>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48">
        <v>34000</v>
      </c>
      <c r="AD888" s="1448"/>
      <c r="AE888" s="1448"/>
      <c r="AF888" s="1448"/>
      <c r="AG888" s="1448"/>
      <c r="AH888" s="144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48">
        <v>98750</v>
      </c>
      <c r="AD889" s="1448"/>
      <c r="AE889" s="1448"/>
      <c r="AF889" s="1448"/>
      <c r="AG889" s="1448"/>
      <c r="AH889" s="144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67"/>
      <c r="AD890" s="1468"/>
      <c r="AE890" s="1468"/>
      <c r="AF890" s="1468"/>
      <c r="AG890" s="1468"/>
      <c r="AH890" s="1469"/>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48">
        <v>15000</v>
      </c>
      <c r="AD891" s="1448"/>
      <c r="AE891" s="1448"/>
      <c r="AF891" s="1448"/>
      <c r="AG891" s="1448"/>
      <c r="AH891" s="1449"/>
      <c r="AZ891" s="34"/>
      <c r="BA891" s="34"/>
      <c r="BB891" s="34"/>
      <c r="BC891" s="34"/>
    </row>
    <row r="892" spans="3:55" ht="12.95" hidden="1" customHeight="1">
      <c r="C892" s="1609" t="s">
        <v>2233</v>
      </c>
      <c r="D892" s="1610"/>
      <c r="E892" s="1610"/>
      <c r="F892" s="1610"/>
      <c r="G892" s="1610"/>
      <c r="H892" s="1610"/>
      <c r="I892" s="1610"/>
      <c r="J892" s="1610"/>
      <c r="K892" s="1610"/>
      <c r="L892" s="1610"/>
      <c r="M892" s="1610"/>
      <c r="N892" s="1610"/>
      <c r="O892" s="1610"/>
      <c r="P892" s="1610"/>
      <c r="Q892" s="1610"/>
      <c r="R892" s="1610"/>
      <c r="S892" s="1610"/>
      <c r="T892" s="1610"/>
      <c r="U892" s="1610"/>
      <c r="V892" s="1610"/>
      <c r="W892" s="1610"/>
      <c r="X892" s="1610"/>
      <c r="Y892" s="1610"/>
      <c r="Z892" s="1610"/>
      <c r="AA892" s="1610"/>
      <c r="AB892" s="1611"/>
      <c r="AC892" s="1448"/>
      <c r="AD892" s="1448"/>
      <c r="AE892" s="1448"/>
      <c r="AF892" s="1448"/>
      <c r="AG892" s="1448"/>
      <c r="AH892" s="144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448"/>
      <c r="AD893" s="1448"/>
      <c r="AE893" s="1448"/>
      <c r="AF893" s="1448"/>
      <c r="AG893" s="1448"/>
      <c r="AH893" s="1449"/>
      <c r="AZ893" s="34"/>
      <c r="BA893" s="34"/>
      <c r="BB893" s="34"/>
      <c r="BC893" s="34"/>
    </row>
    <row r="894" spans="3:55" ht="12.95" customHeight="1">
      <c r="C894" s="1622" t="s">
        <v>2736</v>
      </c>
      <c r="D894" s="1623"/>
      <c r="E894" s="1623"/>
      <c r="F894" s="1623"/>
      <c r="G894" s="1623"/>
      <c r="H894" s="1623"/>
      <c r="I894" s="1623"/>
      <c r="J894" s="1623"/>
      <c r="K894" s="1623"/>
      <c r="L894" s="1623"/>
      <c r="M894" s="1623"/>
      <c r="N894" s="1623"/>
      <c r="O894" s="1623"/>
      <c r="P894" s="1623"/>
      <c r="Q894" s="1623"/>
      <c r="R894" s="1623"/>
      <c r="S894" s="1623"/>
      <c r="T894" s="1623"/>
      <c r="U894" s="1623"/>
      <c r="V894" s="1623"/>
      <c r="W894" s="1623"/>
      <c r="X894" s="1623"/>
      <c r="Y894" s="1623"/>
      <c r="Z894" s="1623"/>
      <c r="AA894" s="1623"/>
      <c r="AB894" s="1624"/>
      <c r="AC894" s="1473">
        <v>100143</v>
      </c>
      <c r="AD894" s="1473"/>
      <c r="AE894" s="1473"/>
      <c r="AF894" s="1473"/>
      <c r="AG894" s="1473"/>
      <c r="AH894" s="1473"/>
      <c r="AZ894" s="34"/>
      <c r="BA894" s="34"/>
      <c r="BB894" s="34"/>
      <c r="BC894" s="34"/>
    </row>
    <row r="895" spans="3:55" ht="12.95" customHeight="1">
      <c r="C895" s="1622" t="s">
        <v>2743</v>
      </c>
      <c r="D895" s="1623"/>
      <c r="E895" s="1623"/>
      <c r="F895" s="1623"/>
      <c r="G895" s="1623"/>
      <c r="H895" s="1623"/>
      <c r="I895" s="1623"/>
      <c r="J895" s="1623"/>
      <c r="K895" s="1623"/>
      <c r="L895" s="1623"/>
      <c r="M895" s="1623"/>
      <c r="N895" s="1623"/>
      <c r="O895" s="1623"/>
      <c r="P895" s="1623"/>
      <c r="Q895" s="1623"/>
      <c r="R895" s="1623"/>
      <c r="S895" s="1623"/>
      <c r="T895" s="1623"/>
      <c r="U895" s="1623"/>
      <c r="V895" s="1623"/>
      <c r="W895" s="1623"/>
      <c r="X895" s="1623"/>
      <c r="Y895" s="1623"/>
      <c r="Z895" s="1623"/>
      <c r="AA895" s="1623"/>
      <c r="AB895" s="1624"/>
      <c r="AC895" s="1473">
        <v>91245</v>
      </c>
      <c r="AD895" s="1473"/>
      <c r="AE895" s="1473"/>
      <c r="AF895" s="1473"/>
      <c r="AG895" s="1473"/>
      <c r="AH895" s="1473"/>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47"/>
      <c r="AA899" s="1448"/>
      <c r="AB899" s="1448"/>
      <c r="AC899" s="1448"/>
      <c r="AD899" s="1448"/>
      <c r="AE899" s="1449"/>
      <c r="AF899" s="533"/>
      <c r="AZ899" s="34"/>
      <c r="BB899" s="30"/>
      <c r="BC899" s="816"/>
      <c r="BD899" s="1618"/>
      <c r="BE899" s="1618"/>
      <c r="BF899" s="14"/>
    </row>
    <row r="900" spans="1:58" ht="12.95" customHeight="1">
      <c r="H900" s="121" t="s">
        <v>239</v>
      </c>
      <c r="I900" s="5"/>
      <c r="J900" s="5"/>
      <c r="K900" s="5"/>
      <c r="L900" s="5"/>
      <c r="M900" s="5"/>
      <c r="N900" s="5"/>
      <c r="O900" s="5"/>
      <c r="P900" s="5"/>
      <c r="Q900" s="5"/>
      <c r="R900" s="5"/>
      <c r="S900" s="5"/>
      <c r="T900" s="5"/>
      <c r="U900" s="5"/>
      <c r="V900" s="5"/>
      <c r="W900" s="5"/>
      <c r="X900" s="5"/>
      <c r="Y900" s="5"/>
      <c r="Z900" s="1447"/>
      <c r="AA900" s="1448"/>
      <c r="AB900" s="1448"/>
      <c r="AC900" s="1448"/>
      <c r="AD900" s="1448"/>
      <c r="AE900" s="1449"/>
      <c r="AZ900" s="34"/>
      <c r="BB900" s="30"/>
      <c r="BC900" s="816"/>
      <c r="BD900" s="1618"/>
      <c r="BE900" s="1618"/>
      <c r="BF900" s="14"/>
    </row>
    <row r="901" spans="1:58" ht="12.95" customHeight="1">
      <c r="H901" s="121" t="s">
        <v>240</v>
      </c>
      <c r="I901" s="5"/>
      <c r="J901" s="5"/>
      <c r="K901" s="5"/>
      <c r="L901" s="5"/>
      <c r="M901" s="5"/>
      <c r="N901" s="5"/>
      <c r="O901" s="5"/>
      <c r="P901" s="5"/>
      <c r="Q901" s="5"/>
      <c r="R901" s="5"/>
      <c r="S901" s="5"/>
      <c r="T901" s="5"/>
      <c r="U901" s="5"/>
      <c r="V901" s="5"/>
      <c r="W901" s="5"/>
      <c r="X901" s="5"/>
      <c r="Y901" s="5"/>
      <c r="Z901" s="1447"/>
      <c r="AA901" s="1448"/>
      <c r="AB901" s="1448"/>
      <c r="AC901" s="1448"/>
      <c r="AD901" s="1448"/>
      <c r="AE901" s="1449"/>
      <c r="AZ901" s="34"/>
      <c r="BB901" s="30"/>
      <c r="BC901" s="816"/>
      <c r="BD901" s="1617"/>
      <c r="BE901" s="1617"/>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24">
        <f>Z899-(Z900+Z901)</f>
        <v>0</v>
      </c>
      <c r="AA902" s="1425"/>
      <c r="AB902" s="1425"/>
      <c r="AC902" s="1425"/>
      <c r="AD902" s="1425"/>
      <c r="AE902" s="1426"/>
      <c r="AZ902" s="34"/>
      <c r="BB902" s="30"/>
      <c r="BC902" s="816"/>
      <c r="BD902" s="1617"/>
      <c r="BE902" s="1617"/>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17"/>
      <c r="BE903" s="1617"/>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18"/>
      <c r="BE904" s="1617"/>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0"/>
      <c r="BE905" s="1700"/>
      <c r="BF905" s="1700"/>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52"/>
      <c r="BE906" s="1652"/>
      <c r="BF906" s="1652"/>
    </row>
    <row r="907" spans="1:58" ht="12.95"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17"/>
      <c r="BE907" s="1617"/>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18"/>
      <c r="BE908" s="1617"/>
      <c r="BF908" s="14"/>
    </row>
    <row r="909" spans="1:58" ht="12.95" customHeight="1">
      <c r="AZ909" s="34"/>
      <c r="BB909" s="30"/>
      <c r="BC909" s="816"/>
    </row>
    <row r="910" spans="1:58" ht="12.95" customHeight="1">
      <c r="A910" s="1430" t="s">
        <v>96</v>
      </c>
      <c r="B910" s="1430"/>
      <c r="C910" s="1430"/>
      <c r="D910" s="1430"/>
      <c r="E910" s="1430"/>
      <c r="F910" s="1430"/>
      <c r="G910" s="1430"/>
      <c r="H910" s="1430"/>
      <c r="I910" s="1430"/>
      <c r="J910" s="1430"/>
      <c r="K910" s="1430"/>
      <c r="L910" s="1430"/>
      <c r="M910" s="1430"/>
      <c r="N910" s="1430"/>
      <c r="O910" s="1430"/>
      <c r="P910" s="1430"/>
      <c r="Q910" s="1430"/>
      <c r="R910" s="1430"/>
      <c r="S910" s="1430"/>
      <c r="T910" s="1430"/>
      <c r="U910" s="1430"/>
      <c r="V910" s="1430"/>
      <c r="W910" s="1430"/>
      <c r="X910" s="1430"/>
      <c r="Y910" s="1430"/>
      <c r="Z910" s="1430"/>
      <c r="AA910" s="1430"/>
      <c r="AB910" s="1430"/>
      <c r="AC910" s="1430"/>
      <c r="AD910" s="1430"/>
      <c r="AE910" s="1430"/>
      <c r="AF910" s="1430"/>
      <c r="AG910" s="1430"/>
      <c r="AH910" s="1430"/>
      <c r="AI910" s="1430"/>
      <c r="AJ910" s="1430"/>
      <c r="AK910" s="1430"/>
      <c r="AL910" s="1430"/>
      <c r="AM910" s="1430"/>
      <c r="AN910" s="1430"/>
      <c r="AO910" s="1430"/>
      <c r="AP910" s="1430"/>
      <c r="AQ910" s="1430"/>
      <c r="AR910" s="1430"/>
      <c r="AS910" s="1430"/>
      <c r="AT910" s="1430"/>
      <c r="AZ910" s="34"/>
      <c r="BA910" s="34"/>
      <c r="BB910" s="30"/>
      <c r="BC910" s="30"/>
      <c r="BD910" s="1618"/>
      <c r="BE910" s="1617"/>
      <c r="BF910" s="910"/>
    </row>
    <row r="911" spans="1:58" ht="12.95" customHeight="1">
      <c r="A911" s="1430"/>
      <c r="B911" s="1430"/>
      <c r="C911" s="1430"/>
      <c r="D911" s="1430"/>
      <c r="E911" s="1430"/>
      <c r="F911" s="1430"/>
      <c r="G911" s="1430"/>
      <c r="H911" s="1430"/>
      <c r="I911" s="1430"/>
      <c r="J911" s="1430"/>
      <c r="K911" s="1430"/>
      <c r="L911" s="1430"/>
      <c r="M911" s="1430"/>
      <c r="N911" s="1430"/>
      <c r="O911" s="1430"/>
      <c r="P911" s="1430"/>
      <c r="Q911" s="1430"/>
      <c r="R911" s="1430"/>
      <c r="S911" s="1430"/>
      <c r="T911" s="1430"/>
      <c r="U911" s="1430"/>
      <c r="V911" s="1430"/>
      <c r="W911" s="1430"/>
      <c r="X911" s="1430"/>
      <c r="Y911" s="1430"/>
      <c r="Z911" s="1430"/>
      <c r="AA911" s="1430"/>
      <c r="AB911" s="1430"/>
      <c r="AC911" s="1430"/>
      <c r="AD911" s="1430"/>
      <c r="AE911" s="1430"/>
      <c r="AF911" s="1430"/>
      <c r="AG911" s="1430"/>
      <c r="AH911" s="1430"/>
      <c r="AI911" s="1430"/>
      <c r="AJ911" s="1430"/>
      <c r="AK911" s="1430"/>
      <c r="AL911" s="1430"/>
      <c r="AM911" s="1430"/>
      <c r="AN911" s="1430"/>
      <c r="AO911" s="1430"/>
      <c r="AP911" s="1430"/>
      <c r="AQ911" s="1430"/>
      <c r="AR911" s="1430"/>
      <c r="AS911" s="1430"/>
      <c r="AT911" s="1430"/>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3" t="s">
        <v>792</v>
      </c>
      <c r="G915" s="1644"/>
      <c r="H915" s="1644"/>
      <c r="I915" s="1644"/>
      <c r="J915" s="1644"/>
      <c r="K915" s="1644"/>
      <c r="L915" s="1644"/>
      <c r="M915" s="1644"/>
      <c r="N915" s="1644"/>
      <c r="O915" s="1644"/>
      <c r="P915" s="1644"/>
      <c r="Q915" s="1644"/>
      <c r="R915" s="1644"/>
      <c r="S915" s="1644"/>
      <c r="T915" s="1645"/>
      <c r="U915" s="1567" t="s">
        <v>31</v>
      </c>
      <c r="V915" s="1568"/>
      <c r="W915" s="1568"/>
      <c r="X915" s="1568"/>
      <c r="Y915" s="1568"/>
      <c r="Z915" s="1568"/>
      <c r="AA915" s="43"/>
      <c r="AB915" s="105"/>
      <c r="AC915" s="105"/>
      <c r="AD915" s="105"/>
      <c r="AE915" s="105"/>
      <c r="AF915" s="106"/>
      <c r="AZ915" s="34"/>
      <c r="BA915" s="34"/>
      <c r="BB915" s="34"/>
      <c r="BC915" s="34"/>
    </row>
    <row r="916" spans="1:58" ht="12.95" customHeight="1">
      <c r="B916" s="2"/>
      <c r="F916" s="1569" t="s">
        <v>818</v>
      </c>
      <c r="G916" s="1570"/>
      <c r="H916" s="1570"/>
      <c r="I916" s="1570"/>
      <c r="J916" s="1570"/>
      <c r="K916" s="1570"/>
      <c r="L916" s="1570"/>
      <c r="M916" s="1570"/>
      <c r="N916" s="1570"/>
      <c r="O916" s="1570"/>
      <c r="P916" s="1570"/>
      <c r="Q916" s="1570"/>
      <c r="R916" s="1570"/>
      <c r="S916" s="1570"/>
      <c r="T916" s="1638"/>
      <c r="U916" s="1569"/>
      <c r="V916" s="1570"/>
      <c r="W916" s="1570"/>
      <c r="X916" s="1570"/>
      <c r="Y916" s="1570"/>
      <c r="Z916" s="1570"/>
      <c r="AA916" s="44"/>
      <c r="AB916" s="4"/>
      <c r="AC916" s="4"/>
      <c r="AD916" s="4"/>
      <c r="AE916" s="4"/>
      <c r="AF916" s="107"/>
      <c r="AZ916" s="34"/>
      <c r="BA916" s="34"/>
      <c r="BB916" s="34"/>
      <c r="BC916" s="34"/>
    </row>
    <row r="917" spans="1:58" ht="12.95" customHeight="1">
      <c r="B917" s="2"/>
      <c r="F917" s="1571"/>
      <c r="G917" s="1572"/>
      <c r="H917" s="1572"/>
      <c r="I917" s="1572"/>
      <c r="J917" s="1572"/>
      <c r="K917" s="1572"/>
      <c r="L917" s="1572"/>
      <c r="M917" s="1572"/>
      <c r="N917" s="1572"/>
      <c r="O917" s="1572"/>
      <c r="P917" s="1572"/>
      <c r="Q917" s="1572"/>
      <c r="R917" s="1572"/>
      <c r="S917" s="1572"/>
      <c r="T917" s="1639"/>
      <c r="U917" s="1571"/>
      <c r="V917" s="1572"/>
      <c r="W917" s="1572"/>
      <c r="X917" s="1572"/>
      <c r="Y917" s="1572"/>
      <c r="Z917" s="1572"/>
      <c r="AA917" s="108"/>
      <c r="AB917" s="1582" t="s">
        <v>391</v>
      </c>
      <c r="AC917" s="1582"/>
      <c r="AD917" s="1582"/>
      <c r="AE917" s="1582"/>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375" t="s">
        <v>545</v>
      </c>
      <c r="V918" s="1376"/>
      <c r="W918" s="1376"/>
      <c r="X918" s="1376"/>
      <c r="Y918" s="1376"/>
      <c r="Z918" s="1377"/>
      <c r="AA918" s="1378">
        <v>57500000</v>
      </c>
      <c r="AB918" s="1379"/>
      <c r="AC918" s="1379"/>
      <c r="AD918" s="1379"/>
      <c r="AE918" s="1379"/>
      <c r="AF918" s="1380"/>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375" t="s">
        <v>545</v>
      </c>
      <c r="V919" s="1376"/>
      <c r="W919" s="1376"/>
      <c r="X919" s="1376"/>
      <c r="Y919" s="1376"/>
      <c r="Z919" s="1377"/>
      <c r="AA919" s="1378">
        <v>34880000</v>
      </c>
      <c r="AB919" s="1379"/>
      <c r="AC919" s="1379"/>
      <c r="AD919" s="1379"/>
      <c r="AE919" s="1379"/>
      <c r="AF919" s="1380"/>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375" t="s">
        <v>591</v>
      </c>
      <c r="V920" s="1376"/>
      <c r="W920" s="1376"/>
      <c r="X920" s="1376"/>
      <c r="Y920" s="1376"/>
      <c r="Z920" s="1377"/>
      <c r="AA920" s="1378"/>
      <c r="AB920" s="1379"/>
      <c r="AC920" s="1379"/>
      <c r="AD920" s="1379"/>
      <c r="AE920" s="1379"/>
      <c r="AF920" s="1380"/>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375" t="s">
        <v>591</v>
      </c>
      <c r="V921" s="1376"/>
      <c r="W921" s="1376"/>
      <c r="X921" s="1376"/>
      <c r="Y921" s="1376"/>
      <c r="Z921" s="1377"/>
      <c r="AA921" s="1378"/>
      <c r="AB921" s="1379"/>
      <c r="AC921" s="1379"/>
      <c r="AD921" s="1379"/>
      <c r="AE921" s="1379"/>
      <c r="AF921" s="1380"/>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375" t="s">
        <v>591</v>
      </c>
      <c r="V922" s="1376"/>
      <c r="W922" s="1376"/>
      <c r="X922" s="1376"/>
      <c r="Y922" s="1376"/>
      <c r="Z922" s="1377"/>
      <c r="AA922" s="1378"/>
      <c r="AB922" s="1379"/>
      <c r="AC922" s="1379"/>
      <c r="AD922" s="1379"/>
      <c r="AE922" s="1379"/>
      <c r="AF922" s="1380"/>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375" t="s">
        <v>591</v>
      </c>
      <c r="V923" s="1376"/>
      <c r="W923" s="1376"/>
      <c r="X923" s="1376"/>
      <c r="Y923" s="1376"/>
      <c r="Z923" s="1377"/>
      <c r="AA923" s="1378"/>
      <c r="AB923" s="1379"/>
      <c r="AC923" s="1379"/>
      <c r="AD923" s="1379"/>
      <c r="AE923" s="1379"/>
      <c r="AF923" s="1380"/>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375" t="s">
        <v>591</v>
      </c>
      <c r="V924" s="1376"/>
      <c r="W924" s="1376"/>
      <c r="X924" s="1376"/>
      <c r="Y924" s="1376"/>
      <c r="Z924" s="1377"/>
      <c r="AA924" s="1378"/>
      <c r="AB924" s="1379"/>
      <c r="AC924" s="1379"/>
      <c r="AD924" s="1379"/>
      <c r="AE924" s="1379"/>
      <c r="AF924" s="1380"/>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375" t="s">
        <v>591</v>
      </c>
      <c r="V925" s="1376"/>
      <c r="W925" s="1376"/>
      <c r="X925" s="1376"/>
      <c r="Y925" s="1376"/>
      <c r="Z925" s="1377"/>
      <c r="AA925" s="1378"/>
      <c r="AB925" s="1379"/>
      <c r="AC925" s="1379"/>
      <c r="AD925" s="1379"/>
      <c r="AE925" s="1379"/>
      <c r="AF925" s="1380"/>
      <c r="AZ925" s="34"/>
      <c r="BA925" s="34"/>
      <c r="BB925" s="34"/>
      <c r="BC925" s="34"/>
    </row>
    <row r="926" spans="1:58" ht="12.95" customHeight="1">
      <c r="F926" s="1392" t="s">
        <v>2192</v>
      </c>
      <c r="G926" s="1393"/>
      <c r="H926" s="1393"/>
      <c r="I926" s="1393"/>
      <c r="J926" s="1393"/>
      <c r="K926" s="1393"/>
      <c r="L926" s="1393"/>
      <c r="M926" s="1393"/>
      <c r="N926" s="1393"/>
      <c r="O926" s="1393"/>
      <c r="P926" s="1393"/>
      <c r="Q926" s="1393"/>
      <c r="R926" s="1393"/>
      <c r="S926" s="1393"/>
      <c r="T926" s="1394"/>
      <c r="U926" s="1375" t="s">
        <v>591</v>
      </c>
      <c r="V926" s="1376"/>
      <c r="W926" s="1376"/>
      <c r="X926" s="1376"/>
      <c r="Y926" s="1376"/>
      <c r="Z926" s="1377"/>
      <c r="AA926" s="1378"/>
      <c r="AB926" s="1379"/>
      <c r="AC926" s="1379"/>
      <c r="AD926" s="1379"/>
      <c r="AE926" s="1379"/>
      <c r="AF926" s="1380"/>
      <c r="AZ926" s="34"/>
      <c r="BA926" s="34"/>
      <c r="BB926" s="34"/>
      <c r="BC926" s="34"/>
    </row>
    <row r="927" spans="1:58" ht="12.95" customHeight="1">
      <c r="F927" s="1392" t="s">
        <v>679</v>
      </c>
      <c r="G927" s="1393"/>
      <c r="H927" s="1393"/>
      <c r="I927" s="1393"/>
      <c r="J927" s="1393"/>
      <c r="K927" s="1393"/>
      <c r="L927" s="1393"/>
      <c r="M927" s="1393"/>
      <c r="N927" s="1393"/>
      <c r="O927" s="1393"/>
      <c r="P927" s="1393"/>
      <c r="Q927" s="1393"/>
      <c r="R927" s="1393"/>
      <c r="S927" s="1393"/>
      <c r="T927" s="1394"/>
      <c r="U927" s="1375" t="s">
        <v>591</v>
      </c>
      <c r="V927" s="1376"/>
      <c r="W927" s="1376"/>
      <c r="X927" s="1376"/>
      <c r="Y927" s="1376"/>
      <c r="Z927" s="1377"/>
      <c r="AA927" s="1378"/>
      <c r="AB927" s="1379"/>
      <c r="AC927" s="1379"/>
      <c r="AD927" s="1379"/>
      <c r="AE927" s="1379"/>
      <c r="AF927" s="1380"/>
      <c r="AU927" s="2"/>
      <c r="AZ927" s="34"/>
      <c r="BA927" s="34"/>
      <c r="BB927" s="34"/>
      <c r="BC927" s="34"/>
    </row>
    <row r="928" spans="1:58" ht="12.95" customHeight="1">
      <c r="F928" s="1392" t="s">
        <v>2193</v>
      </c>
      <c r="G928" s="1393"/>
      <c r="H928" s="1393"/>
      <c r="I928" s="1393"/>
      <c r="J928" s="1393"/>
      <c r="K928" s="1393"/>
      <c r="L928" s="1393"/>
      <c r="M928" s="1393"/>
      <c r="N928" s="1393"/>
      <c r="O928" s="1393"/>
      <c r="P928" s="1393"/>
      <c r="Q928" s="1393"/>
      <c r="R928" s="1393"/>
      <c r="S928" s="1393"/>
      <c r="T928" s="1394"/>
      <c r="U928" s="1375" t="s">
        <v>591</v>
      </c>
      <c r="V928" s="1376"/>
      <c r="W928" s="1376"/>
      <c r="X928" s="1376"/>
      <c r="Y928" s="1376"/>
      <c r="Z928" s="1377"/>
      <c r="AA928" s="1378"/>
      <c r="AB928" s="1379"/>
      <c r="AC928" s="1379"/>
      <c r="AD928" s="1379"/>
      <c r="AE928" s="1379"/>
      <c r="AF928" s="1380"/>
      <c r="AU928" s="2"/>
      <c r="AZ928" s="34"/>
      <c r="BA928" s="34"/>
      <c r="BB928" s="34"/>
      <c r="BC928" s="34"/>
    </row>
    <row r="929" spans="6:55" ht="12.95" customHeight="1">
      <c r="F929" s="1392" t="s">
        <v>2194</v>
      </c>
      <c r="G929" s="1393"/>
      <c r="H929" s="1393"/>
      <c r="I929" s="1393"/>
      <c r="J929" s="1393"/>
      <c r="K929" s="1393"/>
      <c r="L929" s="1393"/>
      <c r="M929" s="1393"/>
      <c r="N929" s="1393"/>
      <c r="O929" s="1393"/>
      <c r="P929" s="1393"/>
      <c r="Q929" s="1393"/>
      <c r="R929" s="1393"/>
      <c r="S929" s="1393"/>
      <c r="T929" s="1394"/>
      <c r="U929" s="1375" t="s">
        <v>591</v>
      </c>
      <c r="V929" s="1376"/>
      <c r="W929" s="1376"/>
      <c r="X929" s="1376"/>
      <c r="Y929" s="1376"/>
      <c r="Z929" s="1377"/>
      <c r="AA929" s="1378"/>
      <c r="AB929" s="1379"/>
      <c r="AC929" s="1379"/>
      <c r="AD929" s="1379"/>
      <c r="AE929" s="1379"/>
      <c r="AF929" s="1380"/>
      <c r="AU929" s="2"/>
      <c r="AZ929" s="34"/>
      <c r="BA929" s="34"/>
      <c r="BB929" s="34"/>
      <c r="BC929" s="34"/>
    </row>
    <row r="930" spans="6:55" ht="12.95" customHeight="1">
      <c r="F930" s="1392" t="s">
        <v>2195</v>
      </c>
      <c r="G930" s="1393"/>
      <c r="H930" s="1393"/>
      <c r="I930" s="1393"/>
      <c r="J930" s="1393"/>
      <c r="K930" s="1393"/>
      <c r="L930" s="1393"/>
      <c r="M930" s="1393"/>
      <c r="N930" s="1393"/>
      <c r="O930" s="1393"/>
      <c r="P930" s="1393"/>
      <c r="Q930" s="1393"/>
      <c r="R930" s="1393"/>
      <c r="S930" s="1393"/>
      <c r="T930" s="1394"/>
      <c r="U930" s="1375" t="s">
        <v>591</v>
      </c>
      <c r="V930" s="1376"/>
      <c r="W930" s="1376"/>
      <c r="X930" s="1376"/>
      <c r="Y930" s="1376"/>
      <c r="Z930" s="1377"/>
      <c r="AA930" s="1378"/>
      <c r="AB930" s="1379"/>
      <c r="AC930" s="1379"/>
      <c r="AD930" s="1379"/>
      <c r="AE930" s="1379"/>
      <c r="AF930" s="1380"/>
      <c r="AU930" s="2"/>
      <c r="AZ930" s="34"/>
      <c r="BA930" s="34"/>
      <c r="BB930" s="34"/>
      <c r="BC930" s="34"/>
    </row>
    <row r="931" spans="6:55" ht="12.95" customHeight="1">
      <c r="F931" s="1392" t="s">
        <v>2196</v>
      </c>
      <c r="G931" s="1393"/>
      <c r="H931" s="1393"/>
      <c r="I931" s="1393"/>
      <c r="J931" s="1393"/>
      <c r="K931" s="1393"/>
      <c r="L931" s="1393"/>
      <c r="M931" s="1393"/>
      <c r="N931" s="1393"/>
      <c r="O931" s="1393"/>
      <c r="P931" s="1393"/>
      <c r="Q931" s="1393"/>
      <c r="R931" s="1393"/>
      <c r="S931" s="1393"/>
      <c r="T931" s="1394"/>
      <c r="U931" s="1375" t="s">
        <v>591</v>
      </c>
      <c r="V931" s="1376"/>
      <c r="W931" s="1376"/>
      <c r="X931" s="1376"/>
      <c r="Y931" s="1376"/>
      <c r="Z931" s="1377"/>
      <c r="AA931" s="1378"/>
      <c r="AB931" s="1379"/>
      <c r="AC931" s="1379"/>
      <c r="AD931" s="1379"/>
      <c r="AE931" s="1379"/>
      <c r="AF931" s="1380"/>
      <c r="AU931" s="2"/>
      <c r="AZ931" s="34"/>
      <c r="BA931" s="34"/>
      <c r="BB931" s="34"/>
      <c r="BC931" s="34"/>
    </row>
    <row r="932" spans="6:55" ht="12.95" customHeight="1">
      <c r="F932" s="1392" t="s">
        <v>2197</v>
      </c>
      <c r="G932" s="1393"/>
      <c r="H932" s="1393"/>
      <c r="I932" s="1393"/>
      <c r="J932" s="1393"/>
      <c r="K932" s="1393"/>
      <c r="L932" s="1393"/>
      <c r="M932" s="1393"/>
      <c r="N932" s="1393"/>
      <c r="O932" s="1393"/>
      <c r="P932" s="1393"/>
      <c r="Q932" s="1393"/>
      <c r="R932" s="1393"/>
      <c r="S932" s="1393"/>
      <c r="T932" s="1394"/>
      <c r="U932" s="1375" t="s">
        <v>591</v>
      </c>
      <c r="V932" s="1376"/>
      <c r="W932" s="1376"/>
      <c r="X932" s="1376"/>
      <c r="Y932" s="1376"/>
      <c r="Z932" s="1377"/>
      <c r="AA932" s="1378"/>
      <c r="AB932" s="1379"/>
      <c r="AC932" s="1379"/>
      <c r="AD932" s="1379"/>
      <c r="AE932" s="1379"/>
      <c r="AF932" s="1380"/>
      <c r="AZ932" s="30"/>
      <c r="BA932" s="30"/>
    </row>
    <row r="933" spans="6:55" ht="12.95" customHeight="1">
      <c r="F933" s="178" t="s">
        <v>676</v>
      </c>
      <c r="G933" s="5"/>
      <c r="H933" s="5"/>
      <c r="I933" s="5"/>
      <c r="J933" s="5"/>
      <c r="K933" s="5"/>
      <c r="L933" s="5"/>
      <c r="M933" s="5"/>
      <c r="N933" s="5"/>
      <c r="O933" s="5"/>
      <c r="P933" s="5"/>
      <c r="Q933" s="5"/>
      <c r="R933" s="5"/>
      <c r="S933" s="5"/>
      <c r="T933" s="46"/>
      <c r="U933" s="1375" t="s">
        <v>591</v>
      </c>
      <c r="V933" s="1376"/>
      <c r="W933" s="1376"/>
      <c r="X933" s="1376"/>
      <c r="Y933" s="1376"/>
      <c r="Z933" s="1377"/>
      <c r="AA933" s="1378"/>
      <c r="AB933" s="1379"/>
      <c r="AC933" s="1379"/>
      <c r="AD933" s="1379"/>
      <c r="AE933" s="1379"/>
      <c r="AF933" s="1380"/>
    </row>
    <row r="934" spans="6:55" ht="12.95" customHeight="1">
      <c r="F934" s="121" t="s">
        <v>1276</v>
      </c>
      <c r="G934" s="5"/>
      <c r="H934" s="5"/>
      <c r="I934" s="5"/>
      <c r="J934" s="5"/>
      <c r="K934" s="5"/>
      <c r="L934" s="5"/>
      <c r="M934" s="5"/>
      <c r="N934" s="5"/>
      <c r="O934" s="5"/>
      <c r="P934" s="5"/>
      <c r="Q934" s="5"/>
      <c r="R934" s="5"/>
      <c r="S934" s="5"/>
      <c r="T934" s="46"/>
      <c r="U934" s="1375" t="s">
        <v>591</v>
      </c>
      <c r="V934" s="1376"/>
      <c r="W934" s="1376"/>
      <c r="X934" s="1376"/>
      <c r="Y934" s="1376"/>
      <c r="Z934" s="1377"/>
      <c r="AA934" s="1378"/>
      <c r="AB934" s="1379"/>
      <c r="AC934" s="1379"/>
      <c r="AD934" s="1379"/>
      <c r="AE934" s="1379"/>
      <c r="AF934" s="1380"/>
      <c r="AZ934" s="30"/>
      <c r="BA934" s="14"/>
    </row>
    <row r="935" spans="6:55" ht="12.95" customHeight="1">
      <c r="F935" s="66" t="s">
        <v>802</v>
      </c>
      <c r="G935" s="5"/>
      <c r="H935" s="5"/>
      <c r="I935" s="5"/>
      <c r="J935" s="5"/>
      <c r="K935" s="5"/>
      <c r="L935" s="5"/>
      <c r="M935" s="5"/>
      <c r="N935" s="5"/>
      <c r="O935" s="5"/>
      <c r="P935" s="5"/>
      <c r="Q935" s="5"/>
      <c r="R935" s="5"/>
      <c r="S935" s="5"/>
      <c r="T935" s="46"/>
      <c r="U935" s="1375" t="s">
        <v>591</v>
      </c>
      <c r="V935" s="1376"/>
      <c r="W935" s="1376"/>
      <c r="X935" s="1376"/>
      <c r="Y935" s="1376"/>
      <c r="Z935" s="1377"/>
      <c r="AA935" s="1378"/>
      <c r="AB935" s="1379"/>
      <c r="AC935" s="1379"/>
      <c r="AD935" s="1379"/>
      <c r="AE935" s="1379"/>
      <c r="AF935" s="1380"/>
      <c r="AZ935" s="30"/>
      <c r="BA935" s="14"/>
    </row>
    <row r="936" spans="6:55" ht="12.95" customHeight="1">
      <c r="F936" s="1626" t="s">
        <v>2201</v>
      </c>
      <c r="G936" s="1627"/>
      <c r="H936" s="1627"/>
      <c r="I936" s="1627"/>
      <c r="J936" s="1627"/>
      <c r="K936" s="1627"/>
      <c r="L936" s="1627"/>
      <c r="M936" s="1627"/>
      <c r="N936" s="1627"/>
      <c r="O936" s="1627"/>
      <c r="P936" s="1627"/>
      <c r="Q936" s="1627"/>
      <c r="R936" s="1627"/>
      <c r="S936" s="1627"/>
      <c r="T936" s="1628"/>
      <c r="U936" s="1375" t="s">
        <v>591</v>
      </c>
      <c r="V936" s="1376"/>
      <c r="W936" s="1376"/>
      <c r="X936" s="1376"/>
      <c r="Y936" s="1376"/>
      <c r="Z936" s="1377"/>
      <c r="AA936" s="1378"/>
      <c r="AB936" s="1379"/>
      <c r="AC936" s="1379"/>
      <c r="AD936" s="1379"/>
      <c r="AE936" s="1379"/>
      <c r="AF936" s="1380"/>
      <c r="AZ936" s="30"/>
      <c r="BA936" s="14"/>
    </row>
    <row r="937" spans="6:55" ht="12.95" customHeight="1">
      <c r="F937" s="1626" t="s">
        <v>2202</v>
      </c>
      <c r="G937" s="1627"/>
      <c r="H937" s="1627"/>
      <c r="I937" s="1627"/>
      <c r="J937" s="1627"/>
      <c r="K937" s="1627"/>
      <c r="L937" s="1627"/>
      <c r="M937" s="1627"/>
      <c r="N937" s="1627"/>
      <c r="O937" s="1627"/>
      <c r="P937" s="1627"/>
      <c r="Q937" s="1627"/>
      <c r="R937" s="1627"/>
      <c r="S937" s="1627"/>
      <c r="T937" s="1628"/>
      <c r="U937" s="1375" t="s">
        <v>591</v>
      </c>
      <c r="V937" s="1376"/>
      <c r="W937" s="1376"/>
      <c r="X937" s="1376"/>
      <c r="Y937" s="1376"/>
      <c r="Z937" s="1377"/>
      <c r="AA937" s="1378"/>
      <c r="AB937" s="1379"/>
      <c r="AC937" s="1379"/>
      <c r="AD937" s="1379"/>
      <c r="AE937" s="1379"/>
      <c r="AF937" s="1380"/>
      <c r="AZ937" s="30"/>
      <c r="BA937" s="30"/>
    </row>
    <row r="938" spans="6:55" ht="12.95" customHeight="1">
      <c r="F938" s="1392" t="s">
        <v>2198</v>
      </c>
      <c r="G938" s="1393"/>
      <c r="H938" s="1393"/>
      <c r="I938" s="1393"/>
      <c r="J938" s="1393"/>
      <c r="K938" s="1393"/>
      <c r="L938" s="1393"/>
      <c r="M938" s="1393"/>
      <c r="N938" s="1393"/>
      <c r="O938" s="1393"/>
      <c r="P938" s="1393"/>
      <c r="Q938" s="1393"/>
      <c r="R938" s="1393"/>
      <c r="S938" s="1393"/>
      <c r="T938" s="1394"/>
      <c r="U938" s="1375" t="s">
        <v>591</v>
      </c>
      <c r="V938" s="1376"/>
      <c r="W938" s="1376"/>
      <c r="X938" s="1376"/>
      <c r="Y938" s="1376"/>
      <c r="Z938" s="1377"/>
      <c r="AA938" s="1378"/>
      <c r="AB938" s="1379"/>
      <c r="AC938" s="1379"/>
      <c r="AD938" s="1379"/>
      <c r="AE938" s="1379"/>
      <c r="AF938" s="1380"/>
      <c r="AZ938" s="30"/>
      <c r="BA938" s="30"/>
    </row>
    <row r="939" spans="6:55" ht="12.95" customHeight="1">
      <c r="F939" s="1392" t="s">
        <v>2199</v>
      </c>
      <c r="G939" s="1393"/>
      <c r="H939" s="1393"/>
      <c r="I939" s="1393"/>
      <c r="J939" s="1393"/>
      <c r="K939" s="1393"/>
      <c r="L939" s="1393"/>
      <c r="M939" s="1393"/>
      <c r="N939" s="1393"/>
      <c r="O939" s="1393"/>
      <c r="P939" s="1393"/>
      <c r="Q939" s="1393"/>
      <c r="R939" s="1393"/>
      <c r="S939" s="1393"/>
      <c r="T939" s="1394"/>
      <c r="U939" s="1375" t="s">
        <v>591</v>
      </c>
      <c r="V939" s="1376"/>
      <c r="W939" s="1376"/>
      <c r="X939" s="1376"/>
      <c r="Y939" s="1376"/>
      <c r="Z939" s="1377"/>
      <c r="AA939" s="1378"/>
      <c r="AB939" s="1379"/>
      <c r="AC939" s="1379"/>
      <c r="AD939" s="1379"/>
      <c r="AE939" s="1379"/>
      <c r="AF939" s="1380"/>
      <c r="AZ939" s="30"/>
      <c r="BA939" s="30"/>
    </row>
    <row r="940" spans="6:55" ht="12.95" customHeight="1">
      <c r="F940" s="1392" t="s">
        <v>2200</v>
      </c>
      <c r="G940" s="1393"/>
      <c r="H940" s="1393"/>
      <c r="I940" s="1393"/>
      <c r="J940" s="1393"/>
      <c r="K940" s="1393"/>
      <c r="L940" s="1393"/>
      <c r="M940" s="1393"/>
      <c r="N940" s="1393"/>
      <c r="O940" s="1393"/>
      <c r="P940" s="1393"/>
      <c r="Q940" s="1393"/>
      <c r="R940" s="1393"/>
      <c r="S940" s="1393"/>
      <c r="T940" s="1394"/>
      <c r="U940" s="1375" t="s">
        <v>591</v>
      </c>
      <c r="V940" s="1376"/>
      <c r="W940" s="1376"/>
      <c r="X940" s="1376"/>
      <c r="Y940" s="1376"/>
      <c r="Z940" s="1377"/>
      <c r="AA940" s="1378"/>
      <c r="AB940" s="1379"/>
      <c r="AC940" s="1379"/>
      <c r="AD940" s="1379"/>
      <c r="AE940" s="1379"/>
      <c r="AF940" s="1380"/>
      <c r="AZ940" s="34"/>
      <c r="BA940" s="34"/>
      <c r="BB940" s="14"/>
      <c r="BC940" s="14"/>
    </row>
    <row r="941" spans="6:55" ht="12.95" customHeight="1">
      <c r="F941" s="121" t="s">
        <v>1260</v>
      </c>
      <c r="G941" s="5"/>
      <c r="H941" s="5"/>
      <c r="I941" s="5"/>
      <c r="J941" s="5"/>
      <c r="K941" s="5"/>
      <c r="L941" s="5"/>
      <c r="M941" s="5"/>
      <c r="N941" s="5"/>
      <c r="O941" s="5"/>
      <c r="P941" s="5"/>
      <c r="Q941" s="5"/>
      <c r="R941" s="5"/>
      <c r="S941" s="5"/>
      <c r="T941" s="46"/>
      <c r="U941" s="1375" t="s">
        <v>591</v>
      </c>
      <c r="V941" s="1376"/>
      <c r="W941" s="1376"/>
      <c r="X941" s="1376"/>
      <c r="Y941" s="1376"/>
      <c r="Z941" s="1377"/>
      <c r="AA941" s="1378"/>
      <c r="AB941" s="1379"/>
      <c r="AC941" s="1379"/>
      <c r="AD941" s="1379"/>
      <c r="AE941" s="1379"/>
      <c r="AF941" s="1380"/>
      <c r="AZ941" s="34"/>
      <c r="BA941" s="34"/>
      <c r="BB941" s="14"/>
      <c r="BC941" s="14"/>
    </row>
    <row r="942" spans="6:55" ht="12.95" customHeight="1">
      <c r="F942" s="1626" t="s">
        <v>2203</v>
      </c>
      <c r="G942" s="1627"/>
      <c r="H942" s="1627"/>
      <c r="I942" s="1627"/>
      <c r="J942" s="1627"/>
      <c r="K942" s="1627"/>
      <c r="L942" s="1627"/>
      <c r="M942" s="1627"/>
      <c r="N942" s="1627"/>
      <c r="O942" s="1627"/>
      <c r="P942" s="1627"/>
      <c r="Q942" s="1627"/>
      <c r="R942" s="1627"/>
      <c r="S942" s="1627"/>
      <c r="T942" s="1628"/>
      <c r="U942" s="1375" t="s">
        <v>591</v>
      </c>
      <c r="V942" s="1376"/>
      <c r="W942" s="1376"/>
      <c r="X942" s="1376"/>
      <c r="Y942" s="1376"/>
      <c r="Z942" s="1377"/>
      <c r="AA942" s="1378"/>
      <c r="AB942" s="1379"/>
      <c r="AC942" s="1379"/>
      <c r="AD942" s="1379"/>
      <c r="AE942" s="1379"/>
      <c r="AF942" s="1380"/>
      <c r="AZ942" s="34"/>
      <c r="BA942" s="34"/>
      <c r="BB942" s="34"/>
      <c r="BC942" s="34"/>
    </row>
    <row r="943" spans="6:55" ht="12.95" customHeight="1">
      <c r="F943" s="121" t="s">
        <v>1261</v>
      </c>
      <c r="G943" s="5"/>
      <c r="H943" s="5"/>
      <c r="I943" s="5"/>
      <c r="J943" s="5"/>
      <c r="K943" s="5"/>
      <c r="L943" s="5"/>
      <c r="M943" s="5"/>
      <c r="N943" s="5"/>
      <c r="O943" s="5"/>
      <c r="P943" s="5"/>
      <c r="Q943" s="5"/>
      <c r="R943" s="5"/>
      <c r="S943" s="5"/>
      <c r="T943" s="46"/>
      <c r="U943" s="1375" t="s">
        <v>591</v>
      </c>
      <c r="V943" s="1376"/>
      <c r="W943" s="1376"/>
      <c r="X943" s="1376"/>
      <c r="Y943" s="1376"/>
      <c r="Z943" s="1377"/>
      <c r="AA943" s="1378"/>
      <c r="AB943" s="1379"/>
      <c r="AC943" s="1379"/>
      <c r="AD943" s="1379"/>
      <c r="AE943" s="1379"/>
      <c r="AF943" s="1380"/>
      <c r="AZ943" s="34"/>
      <c r="BA943" s="34"/>
      <c r="BB943" s="34"/>
      <c r="BC943" s="34"/>
    </row>
    <row r="944" spans="6:55" ht="12.95" customHeight="1">
      <c r="F944" s="1626" t="s">
        <v>2204</v>
      </c>
      <c r="G944" s="1627"/>
      <c r="H944" s="1627"/>
      <c r="I944" s="1627"/>
      <c r="J944" s="1627"/>
      <c r="K944" s="1627"/>
      <c r="L944" s="1627"/>
      <c r="M944" s="1627"/>
      <c r="N944" s="1627"/>
      <c r="O944" s="1627"/>
      <c r="P944" s="1627"/>
      <c r="Q944" s="1627"/>
      <c r="R944" s="1627"/>
      <c r="S944" s="1627"/>
      <c r="T944" s="1628"/>
      <c r="U944" s="1375" t="s">
        <v>591</v>
      </c>
      <c r="V944" s="1376"/>
      <c r="W944" s="1376"/>
      <c r="X944" s="1376"/>
      <c r="Y944" s="1376"/>
      <c r="Z944" s="1377"/>
      <c r="AA944" s="1378"/>
      <c r="AB944" s="1379"/>
      <c r="AC944" s="1379"/>
      <c r="AD944" s="1379"/>
      <c r="AE944" s="1379"/>
      <c r="AF944" s="1380"/>
      <c r="AZ944" s="34"/>
      <c r="BA944" s="34"/>
      <c r="BB944" s="34"/>
      <c r="BC944" s="34"/>
    </row>
    <row r="945" spans="1:55" ht="12.95" customHeight="1">
      <c r="F945" s="45" t="s">
        <v>806</v>
      </c>
      <c r="G945" s="5"/>
      <c r="H945" s="5"/>
      <c r="I945" s="5"/>
      <c r="J945" s="5"/>
      <c r="K945" s="5"/>
      <c r="L945" s="5"/>
      <c r="M945" s="5"/>
      <c r="N945" s="5"/>
      <c r="O945" s="5"/>
      <c r="P945" s="1375" t="s">
        <v>669</v>
      </c>
      <c r="Q945" s="1376"/>
      <c r="R945" s="1376"/>
      <c r="S945" s="1376"/>
      <c r="T945" s="1377"/>
      <c r="U945" s="1375" t="s">
        <v>591</v>
      </c>
      <c r="V945" s="1376"/>
      <c r="W945" s="1376"/>
      <c r="X945" s="1376"/>
      <c r="Y945" s="1376"/>
      <c r="Z945" s="1377"/>
      <c r="AA945" s="1378"/>
      <c r="AB945" s="1379"/>
      <c r="AC945" s="1379"/>
      <c r="AD945" s="1379"/>
      <c r="AE945" s="1379"/>
      <c r="AF945" s="1380"/>
      <c r="AZ945" s="34"/>
      <c r="BA945" s="34"/>
      <c r="BB945" s="34"/>
      <c r="BC945" s="34"/>
    </row>
    <row r="946" spans="1:55" ht="12.95" customHeight="1">
      <c r="F946" s="1392" t="s">
        <v>2191</v>
      </c>
      <c r="G946" s="1393"/>
      <c r="H946" s="1394"/>
      <c r="I946" s="1595" t="s">
        <v>334</v>
      </c>
      <c r="J946" s="1596"/>
      <c r="K946" s="1596"/>
      <c r="L946" s="1596"/>
      <c r="M946" s="1596"/>
      <c r="N946" s="1596"/>
      <c r="O946" s="1596"/>
      <c r="P946" s="1596"/>
      <c r="Q946" s="1596"/>
      <c r="R946" s="1596"/>
      <c r="S946" s="1596"/>
      <c r="T946" s="1597"/>
      <c r="U946" s="1375" t="s">
        <v>591</v>
      </c>
      <c r="V946" s="1376"/>
      <c r="W946" s="1376"/>
      <c r="X946" s="1376"/>
      <c r="Y946" s="1376"/>
      <c r="Z946" s="1377"/>
      <c r="AA946" s="1378"/>
      <c r="AB946" s="1379"/>
      <c r="AC946" s="1379"/>
      <c r="AD946" s="1379"/>
      <c r="AE946" s="1379"/>
      <c r="AF946" s="1380"/>
      <c r="AZ946" s="34"/>
      <c r="BA946" s="34"/>
      <c r="BB946" s="34"/>
      <c r="BC946" s="34"/>
    </row>
    <row r="947" spans="1:55" ht="12.95" customHeight="1">
      <c r="F947" s="45" t="s">
        <v>86</v>
      </c>
      <c r="G947" s="48"/>
      <c r="H947" s="48"/>
      <c r="I947" s="1595" t="s">
        <v>334</v>
      </c>
      <c r="J947" s="1596"/>
      <c r="K947" s="1596"/>
      <c r="L947" s="1596"/>
      <c r="M947" s="1596"/>
      <c r="N947" s="1596"/>
      <c r="O947" s="1596"/>
      <c r="P947" s="1596"/>
      <c r="Q947" s="1596"/>
      <c r="R947" s="1596"/>
      <c r="S947" s="1596"/>
      <c r="T947" s="1597"/>
      <c r="U947" s="1375" t="s">
        <v>591</v>
      </c>
      <c r="V947" s="1376"/>
      <c r="W947" s="1376"/>
      <c r="X947" s="1376"/>
      <c r="Y947" s="1376"/>
      <c r="Z947" s="1377"/>
      <c r="AA947" s="1378"/>
      <c r="AB947" s="1379"/>
      <c r="AC947" s="1379"/>
      <c r="AD947" s="1379"/>
      <c r="AE947" s="1379"/>
      <c r="AF947" s="1380"/>
      <c r="AZ947" s="34"/>
      <c r="BA947" s="34"/>
      <c r="BB947" s="34"/>
      <c r="BC947" s="34"/>
    </row>
    <row r="948" spans="1:55" ht="12.95" customHeight="1">
      <c r="F948" s="45" t="s">
        <v>10</v>
      </c>
      <c r="G948" s="48"/>
      <c r="H948" s="48"/>
      <c r="I948" s="1522" t="s">
        <v>334</v>
      </c>
      <c r="J948" s="1523"/>
      <c r="K948" s="1523"/>
      <c r="L948" s="1523"/>
      <c r="M948" s="1523"/>
      <c r="N948" s="1523"/>
      <c r="O948" s="1523"/>
      <c r="P948" s="1523"/>
      <c r="Q948" s="1523"/>
      <c r="R948" s="1523"/>
      <c r="S948" s="1523"/>
      <c r="T948" s="1524"/>
      <c r="U948" s="1375" t="s">
        <v>591</v>
      </c>
      <c r="V948" s="1376"/>
      <c r="W948" s="1376"/>
      <c r="X948" s="1376"/>
      <c r="Y948" s="1376"/>
      <c r="Z948" s="1377"/>
      <c r="AA948" s="1378"/>
      <c r="AB948" s="1379"/>
      <c r="AC948" s="1379"/>
      <c r="AD948" s="1379"/>
      <c r="AE948" s="1379"/>
      <c r="AF948" s="1380"/>
      <c r="AV948" s="2"/>
      <c r="AW948" s="2"/>
      <c r="AX948" s="2"/>
      <c r="AY948" s="2"/>
      <c r="AZ948" s="34"/>
      <c r="BA948" s="34"/>
      <c r="BB948" s="34"/>
      <c r="BC948" s="34"/>
    </row>
    <row r="949" spans="1:55" ht="12.95" customHeight="1">
      <c r="F949" s="47" t="s">
        <v>170</v>
      </c>
      <c r="G949" s="48"/>
      <c r="H949" s="48"/>
      <c r="I949" s="1522" t="s">
        <v>334</v>
      </c>
      <c r="J949" s="1523"/>
      <c r="K949" s="1523"/>
      <c r="L949" s="1523"/>
      <c r="M949" s="1523"/>
      <c r="N949" s="1523"/>
      <c r="O949" s="1523"/>
      <c r="P949" s="1523"/>
      <c r="Q949" s="1523"/>
      <c r="R949" s="1523"/>
      <c r="S949" s="1523"/>
      <c r="T949" s="1524"/>
      <c r="U949" s="1375" t="s">
        <v>591</v>
      </c>
      <c r="V949" s="1376"/>
      <c r="W949" s="1376"/>
      <c r="X949" s="1376"/>
      <c r="Y949" s="1376"/>
      <c r="Z949" s="1377"/>
      <c r="AA949" s="1378"/>
      <c r="AB949" s="1379"/>
      <c r="AC949" s="1379"/>
      <c r="AD949" s="1379"/>
      <c r="AE949" s="1379"/>
      <c r="AF949" s="1380"/>
      <c r="AU949" s="2"/>
      <c r="AZ949" s="34"/>
      <c r="BA949" s="34"/>
      <c r="BB949" s="34"/>
      <c r="BC949" s="34"/>
    </row>
    <row r="950" spans="1:55" ht="12.95" customHeight="1">
      <c r="F950" s="47" t="s">
        <v>170</v>
      </c>
      <c r="G950" s="48"/>
      <c r="H950" s="48"/>
      <c r="I950" s="1522" t="s">
        <v>334</v>
      </c>
      <c r="J950" s="1523"/>
      <c r="K950" s="1523"/>
      <c r="L950" s="1523"/>
      <c r="M950" s="1523"/>
      <c r="N950" s="1523"/>
      <c r="O950" s="1523"/>
      <c r="P950" s="1523"/>
      <c r="Q950" s="1523"/>
      <c r="R950" s="1523"/>
      <c r="S950" s="1523"/>
      <c r="T950" s="1524"/>
      <c r="U950" s="1375" t="s">
        <v>591</v>
      </c>
      <c r="V950" s="1376"/>
      <c r="W950" s="1376"/>
      <c r="X950" s="1376"/>
      <c r="Y950" s="1376"/>
      <c r="Z950" s="1377"/>
      <c r="AA950" s="1378"/>
      <c r="AB950" s="1379"/>
      <c r="AC950" s="1379"/>
      <c r="AD950" s="1379"/>
      <c r="AE950" s="1379"/>
      <c r="AF950" s="1380"/>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19"/>
      <c r="N955" s="1520"/>
      <c r="O955" s="1520"/>
      <c r="P955" s="1520"/>
      <c r="Q955" s="1520"/>
      <c r="R955" s="1520"/>
      <c r="S955" s="1521"/>
      <c r="U955" s="66" t="s">
        <v>11</v>
      </c>
      <c r="V955" s="5"/>
      <c r="W955" s="5"/>
      <c r="X955" s="5"/>
      <c r="Y955" s="5"/>
      <c r="Z955" s="5"/>
      <c r="AA955" s="5"/>
      <c r="AB955" s="5"/>
      <c r="AC955" s="5"/>
      <c r="AD955" s="46"/>
      <c r="AE955" s="1519"/>
      <c r="AF955" s="1520"/>
      <c r="AG955" s="1520"/>
      <c r="AH955" s="1520"/>
      <c r="AI955" s="1520"/>
      <c r="AJ955" s="1520"/>
      <c r="AK955" s="1521"/>
      <c r="AZ955" s="34"/>
      <c r="BA955" s="34"/>
      <c r="BB955" s="34"/>
      <c r="BC955" s="34"/>
    </row>
    <row r="956" spans="1:55" ht="12.95" customHeight="1">
      <c r="C956" s="66" t="s">
        <v>12</v>
      </c>
      <c r="D956" s="5"/>
      <c r="E956" s="5"/>
      <c r="F956" s="5"/>
      <c r="G956" s="5"/>
      <c r="H956" s="5"/>
      <c r="I956" s="5"/>
      <c r="J956" s="5"/>
      <c r="K956" s="5"/>
      <c r="L956" s="46"/>
      <c r="M956" s="1531"/>
      <c r="N956" s="1532"/>
      <c r="O956" s="1532"/>
      <c r="P956" s="1532"/>
      <c r="Q956" s="1532"/>
      <c r="R956" s="1532"/>
      <c r="S956" s="1533"/>
      <c r="U956" s="66" t="s">
        <v>12</v>
      </c>
      <c r="V956" s="5"/>
      <c r="W956" s="5"/>
      <c r="X956" s="5"/>
      <c r="Y956" s="5"/>
      <c r="Z956" s="5"/>
      <c r="AA956" s="5"/>
      <c r="AB956" s="5"/>
      <c r="AC956" s="5"/>
      <c r="AD956" s="46"/>
      <c r="AE956" s="1531"/>
      <c r="AF956" s="1532"/>
      <c r="AG956" s="1532"/>
      <c r="AH956" s="1532"/>
      <c r="AI956" s="1532"/>
      <c r="AJ956" s="1532"/>
      <c r="AK956" s="1533"/>
      <c r="AZ956" s="34"/>
      <c r="BA956" s="34"/>
      <c r="BB956" s="34"/>
      <c r="BC956" s="34"/>
    </row>
    <row r="957" spans="1:55" ht="12.95" customHeight="1">
      <c r="C957" s="66" t="s">
        <v>880</v>
      </c>
      <c r="D957" s="5"/>
      <c r="E957" s="5"/>
      <c r="J957" s="1564" t="s">
        <v>307</v>
      </c>
      <c r="K957" s="1565"/>
      <c r="L957" s="1565"/>
      <c r="M957" s="1565"/>
      <c r="N957" s="1565"/>
      <c r="O957" s="1565"/>
      <c r="P957" s="1565"/>
      <c r="Q957" s="1565"/>
      <c r="R957" s="1565"/>
      <c r="S957" s="1566"/>
      <c r="U957" s="66" t="s">
        <v>880</v>
      </c>
      <c r="V957" s="5"/>
      <c r="W957" s="5"/>
      <c r="AB957" s="1564" t="s">
        <v>307</v>
      </c>
      <c r="AC957" s="1565"/>
      <c r="AD957" s="1565"/>
      <c r="AE957" s="1565"/>
      <c r="AF957" s="1565"/>
      <c r="AG957" s="1565"/>
      <c r="AH957" s="1565"/>
      <c r="AI957" s="1565"/>
      <c r="AJ957" s="1565"/>
      <c r="AK957" s="1566"/>
      <c r="AZ957" s="34"/>
      <c r="BA957" s="34"/>
      <c r="BB957" s="34"/>
      <c r="BC957" s="34"/>
    </row>
    <row r="958" spans="1:55" ht="12.95" customHeight="1">
      <c r="C958" s="66" t="s">
        <v>13</v>
      </c>
      <c r="D958" s="5"/>
      <c r="E958" s="5"/>
      <c r="F958" s="5"/>
      <c r="G958" s="5"/>
      <c r="H958" s="5"/>
      <c r="I958" s="5"/>
      <c r="J958" s="5"/>
      <c r="K958" s="5"/>
      <c r="L958" s="46"/>
      <c r="M958" s="1583"/>
      <c r="N958" s="1574"/>
      <c r="O958" s="1574"/>
      <c r="P958" s="1574"/>
      <c r="Q958" s="1574"/>
      <c r="R958" s="1574"/>
      <c r="S958" s="1575"/>
      <c r="U958" s="66" t="s">
        <v>13</v>
      </c>
      <c r="V958" s="5"/>
      <c r="W958" s="5"/>
      <c r="X958" s="5"/>
      <c r="Y958" s="5"/>
      <c r="Z958" s="5"/>
      <c r="AA958" s="5"/>
      <c r="AB958" s="5"/>
      <c r="AC958" s="5"/>
      <c r="AD958" s="46"/>
      <c r="AE958" s="1573"/>
      <c r="AF958" s="1574"/>
      <c r="AG958" s="1574"/>
      <c r="AH958" s="1574"/>
      <c r="AI958" s="1574"/>
      <c r="AJ958" s="1574"/>
      <c r="AK958" s="1575"/>
      <c r="AZ958" s="34"/>
      <c r="BA958" s="34"/>
      <c r="BB958" s="34"/>
      <c r="BC958" s="34"/>
    </row>
    <row r="959" spans="1:55" ht="12.95" customHeight="1">
      <c r="C959" s="66" t="s">
        <v>14</v>
      </c>
      <c r="D959" s="5"/>
      <c r="E959" s="5"/>
      <c r="F959" s="5"/>
      <c r="G959" s="5"/>
      <c r="H959" s="5"/>
      <c r="I959" s="5"/>
      <c r="J959" s="5"/>
      <c r="K959" s="5"/>
      <c r="L959" s="46"/>
      <c r="M959" s="1372"/>
      <c r="N959" s="1373"/>
      <c r="O959" s="1373"/>
      <c r="P959" s="1373"/>
      <c r="Q959" s="1373"/>
      <c r="R959" s="1373"/>
      <c r="S959" s="1374"/>
      <c r="U959" s="66" t="s">
        <v>14</v>
      </c>
      <c r="V959" s="5"/>
      <c r="W959" s="5"/>
      <c r="X959" s="5"/>
      <c r="Y959" s="5"/>
      <c r="Z959" s="5"/>
      <c r="AA959" s="5"/>
      <c r="AB959" s="5"/>
      <c r="AC959" s="5"/>
      <c r="AD959" s="46"/>
      <c r="AE959" s="1372"/>
      <c r="AF959" s="1373"/>
      <c r="AG959" s="1373"/>
      <c r="AH959" s="1373"/>
      <c r="AI959" s="1373"/>
      <c r="AJ959" s="1373"/>
      <c r="AK959" s="1374"/>
      <c r="AV959" s="2"/>
      <c r="AW959" s="2"/>
      <c r="AX959" s="2"/>
      <c r="AY959" s="2"/>
      <c r="AZ959" s="34"/>
      <c r="BA959" s="34"/>
      <c r="BB959" s="34"/>
      <c r="BC959" s="34"/>
    </row>
    <row r="960" spans="1:55" ht="12.95" customHeight="1">
      <c r="C960" s="66" t="s">
        <v>15</v>
      </c>
      <c r="D960" s="5"/>
      <c r="E960" s="5"/>
      <c r="F960" s="5"/>
      <c r="G960" s="5"/>
      <c r="H960" s="5"/>
      <c r="I960" s="5"/>
      <c r="J960" s="5"/>
      <c r="K960" s="5"/>
      <c r="L960" s="46"/>
      <c r="M960" s="1378"/>
      <c r="N960" s="1379"/>
      <c r="O960" s="1379"/>
      <c r="P960" s="1379"/>
      <c r="Q960" s="1379"/>
      <c r="R960" s="1379"/>
      <c r="S960" s="1380"/>
      <c r="U960" s="66" t="s">
        <v>15</v>
      </c>
      <c r="V960" s="5"/>
      <c r="W960" s="5"/>
      <c r="X960" s="5"/>
      <c r="Y960" s="5"/>
      <c r="Z960" s="5"/>
      <c r="AA960" s="5"/>
      <c r="AB960" s="5"/>
      <c r="AC960" s="5"/>
      <c r="AD960" s="46"/>
      <c r="AE960" s="1378"/>
      <c r="AF960" s="1379"/>
      <c r="AG960" s="1379"/>
      <c r="AH960" s="1379"/>
      <c r="AI960" s="1379"/>
      <c r="AJ960" s="1379"/>
      <c r="AK960" s="1380"/>
      <c r="AV960" s="2"/>
      <c r="AW960" s="2"/>
      <c r="AX960" s="2"/>
      <c r="AY960" s="2"/>
      <c r="AZ960" s="34"/>
      <c r="BA960" s="34"/>
      <c r="BB960" s="34"/>
      <c r="BC960" s="34"/>
    </row>
    <row r="961" spans="1:64" ht="12.95" customHeight="1">
      <c r="C961" s="66" t="s">
        <v>16</v>
      </c>
      <c r="D961" s="5"/>
      <c r="E961" s="5"/>
      <c r="F961" s="5"/>
      <c r="G961" s="5"/>
      <c r="H961" s="5"/>
      <c r="I961" s="5"/>
      <c r="J961" s="5"/>
      <c r="K961" s="5"/>
      <c r="L961" s="46"/>
      <c r="M961" s="1378"/>
      <c r="N961" s="1379"/>
      <c r="O961" s="1379"/>
      <c r="P961" s="1379"/>
      <c r="Q961" s="1379"/>
      <c r="R961" s="1379"/>
      <c r="S961" s="1380"/>
      <c r="U961" s="66" t="s">
        <v>16</v>
      </c>
      <c r="V961" s="5"/>
      <c r="W961" s="5"/>
      <c r="X961" s="5"/>
      <c r="Y961" s="5"/>
      <c r="Z961" s="5"/>
      <c r="AA961" s="5"/>
      <c r="AB961" s="5"/>
      <c r="AC961" s="5"/>
      <c r="AD961" s="46"/>
      <c r="AE961" s="1378"/>
      <c r="AF961" s="1379"/>
      <c r="AG961" s="1379"/>
      <c r="AH961" s="1379"/>
      <c r="AI961" s="1379"/>
      <c r="AJ961" s="1379"/>
      <c r="AK961" s="1380"/>
      <c r="AV961" s="2"/>
      <c r="AW961" s="2"/>
      <c r="AX961" s="2"/>
      <c r="AY961" s="2"/>
      <c r="AZ961" s="34"/>
      <c r="BB961" s="34"/>
      <c r="BC961" s="34"/>
    </row>
    <row r="962" spans="1:64" ht="12.95" customHeight="1">
      <c r="C962" s="121" t="s">
        <v>1660</v>
      </c>
      <c r="D962" s="5"/>
      <c r="E962" s="5"/>
      <c r="F962" s="5"/>
      <c r="G962" s="5"/>
      <c r="H962" s="5"/>
      <c r="I962" s="5"/>
      <c r="J962" s="5"/>
      <c r="K962" s="5"/>
      <c r="L962" s="46"/>
      <c r="M962" s="1404"/>
      <c r="N962" s="1405"/>
      <c r="O962" s="1405"/>
      <c r="P962" s="1405"/>
      <c r="Q962" s="1405"/>
      <c r="R962" s="1405"/>
      <c r="S962" s="1406"/>
      <c r="U962" s="121" t="s">
        <v>1660</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386"/>
      <c r="N967" s="1387"/>
      <c r="O967" s="1387"/>
      <c r="P967" s="1387"/>
      <c r="Q967" s="1387"/>
      <c r="R967" s="1387"/>
      <c r="S967" s="1388"/>
      <c r="T967" s="66" t="s">
        <v>790</v>
      </c>
      <c r="U967" s="5"/>
      <c r="V967" s="5"/>
      <c r="W967" s="5"/>
      <c r="X967" s="5"/>
      <c r="Y967" s="5"/>
      <c r="Z967" s="46"/>
      <c r="AA967" s="1386"/>
      <c r="AB967" s="1387"/>
      <c r="AC967" s="1387"/>
      <c r="AD967" s="1387"/>
      <c r="AE967" s="1387"/>
      <c r="AF967" s="1387"/>
      <c r="AG967" s="1388"/>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386"/>
      <c r="N968" s="1387"/>
      <c r="O968" s="1387"/>
      <c r="P968" s="1387"/>
      <c r="Q968" s="1387"/>
      <c r="R968" s="1387"/>
      <c r="S968" s="1388"/>
      <c r="T968" s="66" t="s">
        <v>789</v>
      </c>
      <c r="U968" s="5"/>
      <c r="V968" s="5"/>
      <c r="W968" s="5"/>
      <c r="X968" s="5"/>
      <c r="Y968" s="5"/>
      <c r="Z968" s="46"/>
      <c r="AA968" s="1386"/>
      <c r="AB968" s="1387"/>
      <c r="AC968" s="1387"/>
      <c r="AD968" s="1387"/>
      <c r="AE968" s="1387"/>
      <c r="AF968" s="1387"/>
      <c r="AG968" s="138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586" t="s">
        <v>591</v>
      </c>
      <c r="N969" s="1587"/>
      <c r="O969" s="1587"/>
      <c r="P969" s="1587"/>
      <c r="Q969" s="1587"/>
      <c r="R969" s="1587"/>
      <c r="S969" s="1588"/>
      <c r="T969" s="45" t="s">
        <v>337</v>
      </c>
      <c r="U969" s="5"/>
      <c r="V969" s="5"/>
      <c r="W969" s="5"/>
      <c r="X969" s="5"/>
      <c r="Y969" s="5"/>
      <c r="Z969" s="46"/>
      <c r="AA969" s="1386"/>
      <c r="AB969" s="1387"/>
      <c r="AC969" s="1387"/>
      <c r="AD969" s="1387"/>
      <c r="AE969" s="1387"/>
      <c r="AF969" s="1387"/>
      <c r="AG969" s="138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386"/>
      <c r="N970" s="1387"/>
      <c r="O970" s="1387"/>
      <c r="P970" s="1387"/>
      <c r="Q970" s="1387"/>
      <c r="R970" s="1387"/>
      <c r="S970" s="1388"/>
      <c r="T970" s="45" t="s">
        <v>338</v>
      </c>
      <c r="U970" s="5"/>
      <c r="V970" s="5"/>
      <c r="W970" s="5"/>
      <c r="X970" s="5"/>
      <c r="Y970" s="5"/>
      <c r="Z970" s="46"/>
      <c r="AA970" s="1386"/>
      <c r="AB970" s="1387"/>
      <c r="AC970" s="1387"/>
      <c r="AD970" s="1387"/>
      <c r="AE970" s="1387"/>
      <c r="AF970" s="1387"/>
      <c r="AG970" s="138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386"/>
      <c r="N971" s="1387"/>
      <c r="O971" s="1387"/>
      <c r="P971" s="1387"/>
      <c r="Q971" s="1387"/>
      <c r="R971" s="1387"/>
      <c r="S971" s="1388"/>
      <c r="T971" s="45" t="s">
        <v>376</v>
      </c>
      <c r="U971" s="5"/>
      <c r="V971" s="5"/>
      <c r="W971" s="5"/>
      <c r="X971" s="5"/>
      <c r="Y971" s="5"/>
      <c r="Z971" s="46"/>
      <c r="AA971" s="1386"/>
      <c r="AB971" s="1387"/>
      <c r="AC971" s="1387"/>
      <c r="AD971" s="1387"/>
      <c r="AE971" s="1387"/>
      <c r="AF971" s="1387"/>
      <c r="AG971" s="1388"/>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64" t="s">
        <v>307</v>
      </c>
      <c r="N972" s="1565"/>
      <c r="O972" s="1565"/>
      <c r="P972" s="1565"/>
      <c r="Q972" s="1565"/>
      <c r="R972" s="1565"/>
      <c r="S972" s="1566"/>
      <c r="T972" s="1592"/>
      <c r="U972" s="1593"/>
      <c r="V972" s="1593"/>
      <c r="W972" s="1593"/>
      <c r="X972" s="1593"/>
      <c r="Y972" s="1593"/>
      <c r="Z972" s="1594"/>
      <c r="AA972" s="1386"/>
      <c r="AB972" s="1387"/>
      <c r="AC972" s="1387"/>
      <c r="AD972" s="1387"/>
      <c r="AE972" s="1387"/>
      <c r="AF972" s="1387"/>
      <c r="AG972" s="138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386"/>
      <c r="N973" s="1387"/>
      <c r="O973" s="1387"/>
      <c r="P973" s="1387"/>
      <c r="Q973" s="1387"/>
      <c r="R973" s="1387"/>
      <c r="S973" s="1388"/>
      <c r="T973" s="1592"/>
      <c r="U973" s="1593"/>
      <c r="V973" s="1593"/>
      <c r="W973" s="1593"/>
      <c r="X973" s="1593"/>
      <c r="Y973" s="1593"/>
      <c r="Z973" s="1594"/>
      <c r="AA973" s="1386"/>
      <c r="AB973" s="1387"/>
      <c r="AC973" s="1387"/>
      <c r="AD973" s="1387"/>
      <c r="AE973" s="1387"/>
      <c r="AF973" s="1387"/>
      <c r="AG973" s="1388"/>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84" t="s">
        <v>669</v>
      </c>
      <c r="P974" s="1585"/>
      <c r="Q974" s="92"/>
      <c r="R974" s="92"/>
      <c r="S974" s="93"/>
      <c r="T974" s="41" t="s">
        <v>170</v>
      </c>
      <c r="U974" s="42"/>
      <c r="V974" s="42"/>
      <c r="W974" s="1629" t="s">
        <v>334</v>
      </c>
      <c r="X974" s="1630"/>
      <c r="Y974" s="1630"/>
      <c r="Z974" s="1630"/>
      <c r="AA974" s="1630"/>
      <c r="AB974" s="1630"/>
      <c r="AC974" s="1630"/>
      <c r="AD974" s="1630"/>
      <c r="AE974" s="1630"/>
      <c r="AF974" s="1630"/>
      <c r="AG974" s="1631"/>
      <c r="AU974" s="68"/>
      <c r="AV974" s="95"/>
      <c r="AW974" s="95"/>
      <c r="AX974" s="95"/>
      <c r="AY974" s="95"/>
      <c r="AZ974" s="34"/>
      <c r="BB974" s="34"/>
      <c r="BC974" s="34"/>
      <c r="BD974" s="34"/>
      <c r="BE974" s="34"/>
      <c r="BF974" s="34"/>
      <c r="BG974" s="34"/>
      <c r="BH974" s="34"/>
      <c r="BI974" s="34"/>
      <c r="BJ974" s="34"/>
      <c r="BK974" s="34"/>
      <c r="BL974" s="34"/>
    </row>
    <row r="975" spans="1:64" ht="12.95" customHeight="1">
      <c r="F975" s="1384" t="s">
        <v>33</v>
      </c>
      <c r="G975" s="1385"/>
      <c r="H975" s="1385"/>
      <c r="I975" s="1385"/>
      <c r="J975" s="1385"/>
      <c r="K975" s="1385"/>
      <c r="L975" s="1385"/>
      <c r="M975" s="1386"/>
      <c r="N975" s="1387"/>
      <c r="O975" s="1387"/>
      <c r="P975" s="1387"/>
      <c r="Q975" s="1387"/>
      <c r="R975" s="1387"/>
      <c r="S975" s="1388"/>
      <c r="T975" s="47"/>
      <c r="U975" s="48"/>
      <c r="V975" s="48"/>
      <c r="W975" s="48"/>
      <c r="X975" s="48"/>
      <c r="Y975" s="48"/>
      <c r="Z975" s="124" t="s">
        <v>134</v>
      </c>
      <c r="AA975" s="1589"/>
      <c r="AB975" s="1590"/>
      <c r="AC975" s="1590"/>
      <c r="AD975" s="1590"/>
      <c r="AE975" s="1590"/>
      <c r="AF975" s="1590"/>
      <c r="AG975" s="1591"/>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17"/>
      <c r="BH976" s="1617"/>
      <c r="BI976" s="1617"/>
      <c r="BJ976" s="1617"/>
      <c r="BK976" s="1617"/>
      <c r="BL976" s="1617"/>
    </row>
    <row r="977" spans="1:64" ht="12.95" customHeight="1">
      <c r="AU977" s="68"/>
      <c r="AV977" s="68"/>
      <c r="AW977" s="68"/>
      <c r="AX977" s="68"/>
      <c r="AY977" s="68"/>
      <c r="AZ977" s="14"/>
      <c r="BA977" s="14"/>
      <c r="BB977" s="911"/>
      <c r="BC977" s="911"/>
      <c r="BD977" s="14"/>
      <c r="BE977" s="14"/>
      <c r="BF977" s="14"/>
      <c r="BG977" s="14"/>
      <c r="BH977" s="14"/>
      <c r="BI977" s="14"/>
      <c r="BJ977" s="14"/>
      <c r="BK977" s="14"/>
      <c r="BL977" s="14"/>
    </row>
    <row r="978" spans="1:64" ht="12.95" customHeight="1">
      <c r="AU978" s="68"/>
      <c r="AV978" s="68"/>
      <c r="AW978" s="68"/>
      <c r="AX978" s="68"/>
      <c r="AY978" s="68"/>
      <c r="AZ978" s="14"/>
      <c r="BA978" s="14"/>
      <c r="BB978" s="911"/>
      <c r="BC978" s="911"/>
    </row>
    <row r="979" spans="1:64" ht="12.95" customHeight="1">
      <c r="A979" s="1430" t="s">
        <v>548</v>
      </c>
      <c r="B979" s="1430"/>
      <c r="C979" s="1430"/>
      <c r="D979" s="1430"/>
      <c r="E979" s="1430"/>
      <c r="F979" s="1430"/>
      <c r="G979" s="1430"/>
      <c r="H979" s="1430"/>
      <c r="I979" s="1430"/>
      <c r="J979" s="1430"/>
      <c r="K979" s="1430"/>
      <c r="L979" s="1430"/>
      <c r="M979" s="1430"/>
      <c r="N979" s="1430"/>
      <c r="O979" s="1430"/>
      <c r="P979" s="1430"/>
      <c r="Q979" s="1430"/>
      <c r="R979" s="1430"/>
      <c r="S979" s="1430"/>
      <c r="T979" s="1430"/>
      <c r="U979" s="1430"/>
      <c r="V979" s="1430"/>
      <c r="W979" s="1430"/>
      <c r="X979" s="1430"/>
      <c r="Y979" s="1430"/>
      <c r="Z979" s="1430"/>
      <c r="AA979" s="1430"/>
      <c r="AB979" s="1430"/>
      <c r="AC979" s="1430"/>
      <c r="AD979" s="1430"/>
      <c r="AE979" s="1430"/>
      <c r="AF979" s="1430"/>
      <c r="AG979" s="1430"/>
      <c r="AH979" s="1430"/>
      <c r="AI979" s="1430"/>
      <c r="AJ979" s="1430"/>
      <c r="AK979" s="1430"/>
      <c r="AL979" s="1430"/>
      <c r="AM979" s="1430"/>
      <c r="AN979" s="1430"/>
      <c r="AO979" s="1430"/>
      <c r="AP979" s="1430"/>
      <c r="AQ979" s="1430"/>
      <c r="AR979" s="1430"/>
      <c r="AS979" s="1430"/>
      <c r="AT979" s="1430"/>
      <c r="AU979" s="68"/>
      <c r="AV979" s="68"/>
      <c r="AW979" s="68"/>
      <c r="AX979" s="68"/>
      <c r="AY979" s="68"/>
      <c r="AZ979" s="14"/>
      <c r="BA979" s="14"/>
      <c r="BB979" s="911"/>
      <c r="BC979" s="911"/>
    </row>
    <row r="980" spans="1:64" ht="12.95" customHeight="1">
      <c r="A980" s="1430"/>
      <c r="B980" s="1430"/>
      <c r="C980" s="1430"/>
      <c r="D980" s="1430"/>
      <c r="E980" s="1430"/>
      <c r="F980" s="1430"/>
      <c r="G980" s="1430"/>
      <c r="H980" s="1430"/>
      <c r="I980" s="1430"/>
      <c r="J980" s="1430"/>
      <c r="K980" s="1430"/>
      <c r="L980" s="1430"/>
      <c r="M980" s="1430"/>
      <c r="N980" s="1430"/>
      <c r="O980" s="1430"/>
      <c r="P980" s="1430"/>
      <c r="Q980" s="1430"/>
      <c r="R980" s="1430"/>
      <c r="S980" s="1430"/>
      <c r="T980" s="1430"/>
      <c r="U980" s="1430"/>
      <c r="V980" s="1430"/>
      <c r="W980" s="1430"/>
      <c r="X980" s="1430"/>
      <c r="Y980" s="1430"/>
      <c r="Z980" s="1430"/>
      <c r="AA980" s="1430"/>
      <c r="AB980" s="1430"/>
      <c r="AC980" s="1430"/>
      <c r="AD980" s="1430"/>
      <c r="AE980" s="1430"/>
      <c r="AF980" s="1430"/>
      <c r="AG980" s="1430"/>
      <c r="AH980" s="1430"/>
      <c r="AI980" s="1430"/>
      <c r="AJ980" s="1430"/>
      <c r="AK980" s="1430"/>
      <c r="AL980" s="1430"/>
      <c r="AM980" s="1430"/>
      <c r="AN980" s="1430"/>
      <c r="AO980" s="1430"/>
      <c r="AP980" s="1430"/>
      <c r="AQ980" s="1430"/>
      <c r="AR980" s="1430"/>
      <c r="AS980" s="1430"/>
      <c r="AT980" s="1430"/>
      <c r="AU980" s="68"/>
      <c r="AV980" s="68"/>
      <c r="AW980" s="68"/>
      <c r="AX980" s="68"/>
      <c r="AY980" s="68"/>
      <c r="AZ980" s="30"/>
      <c r="BA980" s="14"/>
      <c r="BB980" s="14"/>
      <c r="BC980" s="14"/>
    </row>
    <row r="981" spans="1:64" ht="12.95" customHeight="1">
      <c r="A981" s="1430"/>
      <c r="B981" s="1430"/>
      <c r="C981" s="1430"/>
      <c r="D981" s="1430"/>
      <c r="E981" s="1430"/>
      <c r="F981" s="1430"/>
      <c r="G981" s="1430"/>
      <c r="H981" s="1430"/>
      <c r="I981" s="1430"/>
      <c r="J981" s="1430"/>
      <c r="K981" s="1430"/>
      <c r="L981" s="1430"/>
      <c r="M981" s="1430"/>
      <c r="N981" s="1430"/>
      <c r="O981" s="1430"/>
      <c r="P981" s="1430"/>
      <c r="Q981" s="1430"/>
      <c r="R981" s="1430"/>
      <c r="S981" s="1430"/>
      <c r="T981" s="1430"/>
      <c r="U981" s="1430"/>
      <c r="V981" s="1430"/>
      <c r="W981" s="1430"/>
      <c r="X981" s="1430"/>
      <c r="Y981" s="1430"/>
      <c r="Z981" s="1430"/>
      <c r="AA981" s="1430"/>
      <c r="AB981" s="1430"/>
      <c r="AC981" s="1430"/>
      <c r="AD981" s="1430"/>
      <c r="AE981" s="1430"/>
      <c r="AF981" s="1430"/>
      <c r="AG981" s="1430"/>
      <c r="AH981" s="1430"/>
      <c r="AI981" s="1430"/>
      <c r="AJ981" s="1430"/>
      <c r="AK981" s="1430"/>
      <c r="AL981" s="1430"/>
      <c r="AM981" s="1430"/>
      <c r="AN981" s="1430"/>
      <c r="AO981" s="1430"/>
      <c r="AP981" s="1430"/>
      <c r="AQ981" s="1430"/>
      <c r="AR981" s="1430"/>
      <c r="AS981" s="1430"/>
      <c r="AT981" s="1430"/>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7"/>
      <c r="D985" s="1389" t="s">
        <v>638</v>
      </c>
      <c r="E985" s="1390"/>
      <c r="F985" s="1390"/>
      <c r="G985" s="1390"/>
      <c r="H985" s="1390"/>
      <c r="I985" s="1390"/>
      <c r="J985" s="1390"/>
      <c r="K985" s="1390"/>
      <c r="L985" s="1390"/>
      <c r="M985" s="1390"/>
      <c r="N985" s="1390"/>
      <c r="O985" s="1390"/>
      <c r="P985" s="1390"/>
      <c r="Q985" s="1391"/>
      <c r="R985" s="1389" t="s">
        <v>639</v>
      </c>
      <c r="S985" s="1390"/>
      <c r="T985" s="1390"/>
      <c r="U985" s="1390"/>
      <c r="V985" s="1390"/>
      <c r="W985" s="1390"/>
      <c r="X985" s="1390"/>
      <c r="Y985" s="1390"/>
      <c r="Z985" s="1390"/>
      <c r="AA985" s="1391"/>
      <c r="AB985" s="1389" t="s">
        <v>640</v>
      </c>
      <c r="AC985" s="1390"/>
      <c r="AD985" s="1390"/>
      <c r="AE985" s="1390"/>
      <c r="AF985" s="1390"/>
      <c r="AG985" s="1390"/>
      <c r="AH985" s="1390"/>
      <c r="AI985" s="1391"/>
      <c r="AJ985" s="1389" t="s">
        <v>641</v>
      </c>
      <c r="AK985" s="1390"/>
      <c r="AL985" s="1390"/>
      <c r="AM985" s="1390"/>
      <c r="AN985" s="1390"/>
      <c r="AO985" s="1390"/>
      <c r="AP985" s="1390"/>
      <c r="AQ985" s="1391"/>
      <c r="AR985" s="68"/>
      <c r="AS985" s="68"/>
      <c r="AT985" s="68"/>
      <c r="AU985" s="68"/>
      <c r="AV985" s="68"/>
      <c r="AW985" s="68"/>
      <c r="AX985" s="68"/>
      <c r="AY985" s="68"/>
      <c r="AZ985" s="30"/>
      <c r="BB985" s="14"/>
      <c r="BC985" s="14"/>
    </row>
    <row r="986" spans="1:64" ht="12.95" customHeight="1">
      <c r="A986" s="14"/>
      <c r="B986" s="73"/>
      <c r="C986" s="928"/>
      <c r="D986" s="1381" t="s">
        <v>633</v>
      </c>
      <c r="E986" s="1382"/>
      <c r="F986" s="1382"/>
      <c r="G986" s="1382"/>
      <c r="H986" s="1382"/>
      <c r="I986" s="1382"/>
      <c r="J986" s="1382"/>
      <c r="K986" s="1382"/>
      <c r="L986" s="1382"/>
      <c r="M986" s="1382"/>
      <c r="N986" s="1382"/>
      <c r="O986" s="1382"/>
      <c r="P986" s="1382"/>
      <c r="Q986" s="1383"/>
      <c r="R986" s="1371">
        <f>IF(ISNA(IF($CU$122="4%",(INDEX($CS$160:$CW$217,MATCH($DG$122,$CR$160:$CR$217,0),MATCH(D986,$CS$159:$CW$159,0))),(INDEX($CZ$160:$DD$217,MATCH($DG$122,$CY$160:$CY$217,0),MATCH(D986,$CZ$159:$DD$159,0))))),0,IF($CU$122="4%",(INDEX($CS$160:$CW$217,MATCH($DG$122,$CR$160:$CR$217,0),MATCH(D986,$CS$159:$CW$159,0))),(INDEX($CZ$160:$DD$217,MATCH($DG$122,$CY$160:$CY$217,0),MATCH(D986,$CZ$159:$DD$159,0)))))</f>
        <v>437727</v>
      </c>
      <c r="S986" s="1371"/>
      <c r="T986" s="1371"/>
      <c r="U986" s="1371"/>
      <c r="V986" s="1371"/>
      <c r="W986" s="1371"/>
      <c r="X986" s="1371"/>
      <c r="Y986" s="1371"/>
      <c r="Z986" s="1371"/>
      <c r="AA986" s="1371"/>
      <c r="AB986" s="1368">
        <f>CP802</f>
        <v>0</v>
      </c>
      <c r="AC986" s="1369"/>
      <c r="AD986" s="1369"/>
      <c r="AE986" s="1369"/>
      <c r="AF986" s="1369"/>
      <c r="AG986" s="1369"/>
      <c r="AH986" s="1369"/>
      <c r="AI986" s="1370"/>
      <c r="AJ986" s="1477">
        <f>IF(ISERROR((R986*AB986)),0,(R986*AB986))</f>
        <v>0</v>
      </c>
      <c r="AK986" s="1478"/>
      <c r="AL986" s="1478"/>
      <c r="AM986" s="1478"/>
      <c r="AN986" s="1478"/>
      <c r="AO986" s="1478"/>
      <c r="AP986" s="1478"/>
      <c r="AQ986" s="1479"/>
      <c r="AR986" s="68"/>
      <c r="AS986" s="68"/>
      <c r="AT986" s="68"/>
      <c r="AU986" s="68"/>
      <c r="AV986" s="68"/>
      <c r="AW986" s="68"/>
      <c r="AX986" s="68"/>
      <c r="AY986" s="68"/>
      <c r="AZ986" s="30"/>
      <c r="BB986" s="14"/>
      <c r="BC986" s="14"/>
    </row>
    <row r="987" spans="1:64" ht="12.95" customHeight="1">
      <c r="A987" s="14"/>
      <c r="B987" s="73"/>
      <c r="C987" s="83"/>
      <c r="D987" s="1381" t="s">
        <v>325</v>
      </c>
      <c r="E987" s="1382"/>
      <c r="F987" s="1382"/>
      <c r="G987" s="1382"/>
      <c r="H987" s="1382"/>
      <c r="I987" s="1382"/>
      <c r="J987" s="1382"/>
      <c r="K987" s="1382"/>
      <c r="L987" s="1382"/>
      <c r="M987" s="1382"/>
      <c r="N987" s="1382"/>
      <c r="O987" s="1382"/>
      <c r="P987" s="1382"/>
      <c r="Q987" s="1383"/>
      <c r="R987" s="1371">
        <f>IF(ISNA(IF($CU$122="4%",(INDEX($CS$160:$CW$217,MATCH($DG$122,$CR$160:$CR$217,0),MATCH(D987,$CS$159:$CW$159,0))),(INDEX($CZ$160:$DD$217,MATCH($DG$122,$CY$160:$CY$217,0),MATCH(D987,$CZ$159:$DD$159,0))))),0,IF($CU$122="4%",(INDEX($CS$160:$CW$217,MATCH($DG$122,$CR$160:$CR$217,0),MATCH(D987,$CS$159:$CW$159,0))),(INDEX($CZ$160:$DD$217,MATCH($DG$122,$CY$160:$CY$217,0),MATCH(D987,$CZ$159:$DD$159,0)))))</f>
        <v>504695</v>
      </c>
      <c r="S987" s="1371"/>
      <c r="T987" s="1371"/>
      <c r="U987" s="1371"/>
      <c r="V987" s="1371"/>
      <c r="W987" s="1371"/>
      <c r="X987" s="1371"/>
      <c r="Y987" s="1371"/>
      <c r="Z987" s="1371"/>
      <c r="AA987" s="1371"/>
      <c r="AB987" s="1368">
        <f>CU802</f>
        <v>365</v>
      </c>
      <c r="AC987" s="1369"/>
      <c r="AD987" s="1369"/>
      <c r="AE987" s="1369"/>
      <c r="AF987" s="1369"/>
      <c r="AG987" s="1369"/>
      <c r="AH987" s="1369"/>
      <c r="AI987" s="1370"/>
      <c r="AJ987" s="1477">
        <f>IF(ISERROR((R987*AB987)),0,(R987*AB987))</f>
        <v>184213675</v>
      </c>
      <c r="AK987" s="1478"/>
      <c r="AL987" s="1478"/>
      <c r="AM987" s="1478"/>
      <c r="AN987" s="1478"/>
      <c r="AO987" s="1478"/>
      <c r="AP987" s="1478"/>
      <c r="AQ987" s="1479"/>
      <c r="AR987" s="68"/>
      <c r="AS987" s="68"/>
      <c r="AT987" s="68"/>
      <c r="AU987" s="68"/>
      <c r="AV987" s="68"/>
      <c r="AW987" s="68"/>
      <c r="AX987" s="68"/>
      <c r="AY987" s="68"/>
      <c r="AZ987" s="30"/>
      <c r="BB987" s="14"/>
      <c r="BC987" s="14"/>
    </row>
    <row r="988" spans="1:64" ht="12.95" customHeight="1">
      <c r="A988" s="14"/>
      <c r="B988" s="73"/>
      <c r="C988" s="83"/>
      <c r="D988" s="1381" t="s">
        <v>163</v>
      </c>
      <c r="E988" s="1382"/>
      <c r="F988" s="1382"/>
      <c r="G988" s="1382"/>
      <c r="H988" s="1382"/>
      <c r="I988" s="1382"/>
      <c r="J988" s="1382"/>
      <c r="K988" s="1382"/>
      <c r="L988" s="1382"/>
      <c r="M988" s="1382"/>
      <c r="N988" s="1382"/>
      <c r="O988" s="1382"/>
      <c r="P988" s="1382"/>
      <c r="Q988" s="1383"/>
      <c r="R988" s="1371">
        <f>IF(ISNA(IF($CU$122="4%",(INDEX($CS$160:$CW$217,MATCH($DG$122,$CR$160:$CR$217,0),MATCH(D988,$CS$159:$CW$159,0))),(INDEX($CZ$160:$DD$217,MATCH($DG$122,$CY$160:$CY$217,0),MATCH(D988,$CZ$159:$DD$159,0))))),0,IF($CU$122="4%",(INDEX($CS$160:$CW$217,MATCH($DG$122,$CR$160:$CR$217,0),MATCH(D988,$CS$159:$CW$159,0))),(INDEX($CZ$160:$DD$217,MATCH($DG$122,$CY$160:$CY$217,0),MATCH(D988,$CZ$159:$DD$159,0)))))</f>
        <v>608800</v>
      </c>
      <c r="S988" s="1371"/>
      <c r="T988" s="1371"/>
      <c r="U988" s="1371"/>
      <c r="V988" s="1371"/>
      <c r="W988" s="1371"/>
      <c r="X988" s="1371"/>
      <c r="Y988" s="1371"/>
      <c r="Z988" s="1371"/>
      <c r="AA988" s="1371"/>
      <c r="AB988" s="1368">
        <f>CZ802</f>
        <v>30</v>
      </c>
      <c r="AC988" s="1369"/>
      <c r="AD988" s="1369"/>
      <c r="AE988" s="1369"/>
      <c r="AF988" s="1369"/>
      <c r="AG988" s="1369"/>
      <c r="AH988" s="1369"/>
      <c r="AI988" s="1370"/>
      <c r="AJ988" s="1477">
        <f>IF(ISERROR((R988*AB988)),0,(R988*AB988))</f>
        <v>18264000</v>
      </c>
      <c r="AK988" s="1478"/>
      <c r="AL988" s="1478"/>
      <c r="AM988" s="1478"/>
      <c r="AN988" s="1478"/>
      <c r="AO988" s="1478"/>
      <c r="AP988" s="1478"/>
      <c r="AQ988" s="1479"/>
      <c r="AR988" s="68"/>
      <c r="AS988" s="68"/>
      <c r="AT988" s="68"/>
      <c r="AU988" s="68"/>
      <c r="AV988" s="68"/>
      <c r="AW988" s="68"/>
      <c r="AX988" s="68"/>
      <c r="AY988" s="68"/>
      <c r="AZ988" s="30"/>
      <c r="BB988" s="14"/>
      <c r="BC988" s="14"/>
    </row>
    <row r="989" spans="1:64" ht="12.95" customHeight="1">
      <c r="A989" s="14"/>
      <c r="B989" s="73"/>
      <c r="C989" s="83"/>
      <c r="D989" s="1381" t="s">
        <v>164</v>
      </c>
      <c r="E989" s="1382"/>
      <c r="F989" s="1382"/>
      <c r="G989" s="1382"/>
      <c r="H989" s="1382"/>
      <c r="I989" s="1382"/>
      <c r="J989" s="1382"/>
      <c r="K989" s="1382"/>
      <c r="L989" s="1382"/>
      <c r="M989" s="1382"/>
      <c r="N989" s="1382"/>
      <c r="O989" s="1382"/>
      <c r="P989" s="1382"/>
      <c r="Q989" s="1383"/>
      <c r="R989" s="1371">
        <f>IF(ISNA(IF($CU$122="4%",(INDEX($CS$160:$CW$217,MATCH($DG$122,$CR$160:$CR$217,0),MATCH(D989,$CS$159:$CW$159,0))),(INDEX($CZ$160:$DD$217,MATCH($DG$122,$CY$160:$CY$217,0),MATCH(D989,$CZ$159:$DD$159,0))))),0,IF($CU$122="4%",(INDEX($CS$160:$CW$217,MATCH($DG$122,$CR$160:$CR$217,0),MATCH(D989,$CS$159:$CW$159,0))),(INDEX($CZ$160:$DD$217,MATCH($DG$122,$CY$160:$CY$217,0),MATCH(D989,$CZ$159:$DD$159,0)))))</f>
        <v>779264</v>
      </c>
      <c r="S989" s="1371"/>
      <c r="T989" s="1371"/>
      <c r="U989" s="1371"/>
      <c r="V989" s="1371"/>
      <c r="W989" s="1371"/>
      <c r="X989" s="1371"/>
      <c r="Y989" s="1371"/>
      <c r="Z989" s="1371"/>
      <c r="AA989" s="1371"/>
      <c r="AB989" s="1368">
        <f>DE802</f>
        <v>0</v>
      </c>
      <c r="AC989" s="1369"/>
      <c r="AD989" s="1369"/>
      <c r="AE989" s="1369"/>
      <c r="AF989" s="1369"/>
      <c r="AG989" s="1369"/>
      <c r="AH989" s="1369"/>
      <c r="AI989" s="1370"/>
      <c r="AJ989" s="1477">
        <f>IF(ISERROR((R989*AB989)),0,(R989*AB989))</f>
        <v>0</v>
      </c>
      <c r="AK989" s="1478"/>
      <c r="AL989" s="1478"/>
      <c r="AM989" s="1478"/>
      <c r="AN989" s="1478"/>
      <c r="AO989" s="1478"/>
      <c r="AP989" s="1478"/>
      <c r="AQ989" s="1479"/>
      <c r="AR989" s="68"/>
      <c r="AS989" s="68"/>
      <c r="AT989" s="68"/>
      <c r="AU989" s="68"/>
      <c r="AV989" s="68"/>
      <c r="AW989" s="68"/>
      <c r="AX989" s="68"/>
      <c r="AY989" s="68"/>
      <c r="AZ989" s="30"/>
      <c r="BA989" s="34"/>
      <c r="BB989" s="14"/>
      <c r="BC989" s="14"/>
    </row>
    <row r="990" spans="1:64" ht="12.95" customHeight="1">
      <c r="A990" s="14"/>
      <c r="B990" s="47"/>
      <c r="C990" s="78"/>
      <c r="D990" s="1381" t="s">
        <v>460</v>
      </c>
      <c r="E990" s="1382"/>
      <c r="F990" s="1382"/>
      <c r="G990" s="1382"/>
      <c r="H990" s="1382"/>
      <c r="I990" s="1382"/>
      <c r="J990" s="1382"/>
      <c r="K990" s="1382"/>
      <c r="L990" s="1382"/>
      <c r="M990" s="1382"/>
      <c r="N990" s="1382"/>
      <c r="O990" s="1382"/>
      <c r="P990" s="1382"/>
      <c r="Q990" s="1383"/>
      <c r="R990" s="1371">
        <f>IF(ISNA(IF($CU$122="4%",(INDEX($CS$160:$CW$217,MATCH($DG$122,$CR$160:$CR$217,0),MATCH(D990,$CS$159:$CW$159,0))),(INDEX($CZ$160:$DD$217,MATCH($DG$122,$CY$160:$CY$217,0),MATCH(D990,$CZ$159:$DD$159,0))))),0,IF($CU$122="4%",(INDEX($CS$160:$CW$217,MATCH($DG$122,$CR$160:$CR$217,0),MATCH(D990,$CS$159:$CW$159,0))),(INDEX($CZ$160:$DD$217,MATCH($DG$122,$CY$160:$CY$217,0),MATCH(D990,$CZ$159:$DD$159,0)))))</f>
        <v>868149</v>
      </c>
      <c r="S990" s="1371"/>
      <c r="T990" s="1371"/>
      <c r="U990" s="1371"/>
      <c r="V990" s="1371"/>
      <c r="W990" s="1371"/>
      <c r="X990" s="1371"/>
      <c r="Y990" s="1371"/>
      <c r="Z990" s="1371"/>
      <c r="AA990" s="1371"/>
      <c r="AB990" s="1368">
        <f>DO802+DJ802</f>
        <v>0</v>
      </c>
      <c r="AC990" s="1369"/>
      <c r="AD990" s="1369"/>
      <c r="AE990" s="1369"/>
      <c r="AF990" s="1369"/>
      <c r="AG990" s="1369"/>
      <c r="AH990" s="1369"/>
      <c r="AI990" s="1370"/>
      <c r="AJ990" s="1477">
        <f>IF(ISERROR((R990*AB990)),0,(R990*AB990))</f>
        <v>0</v>
      </c>
      <c r="AK990" s="1478"/>
      <c r="AL990" s="1478"/>
      <c r="AM990" s="1478"/>
      <c r="AN990" s="1478"/>
      <c r="AO990" s="1478"/>
      <c r="AP990" s="1478"/>
      <c r="AQ990" s="1479"/>
      <c r="AR990" s="68"/>
      <c r="AS990" s="68"/>
      <c r="AT990" s="68"/>
      <c r="AU990" s="68"/>
      <c r="AV990" s="68"/>
      <c r="AW990" s="68"/>
      <c r="AX990" s="68"/>
      <c r="AY990" s="68"/>
      <c r="AZ990" s="30"/>
      <c r="BB990" s="14"/>
      <c r="BC990" s="14"/>
    </row>
    <row r="991" spans="1:64" ht="12.95" customHeight="1">
      <c r="A991" s="14"/>
      <c r="B991" s="1576" t="s">
        <v>791</v>
      </c>
      <c r="C991" s="1577"/>
      <c r="D991" s="1577"/>
      <c r="E991" s="1577"/>
      <c r="F991" s="1577"/>
      <c r="G991" s="1577"/>
      <c r="H991" s="1577"/>
      <c r="I991" s="1577"/>
      <c r="J991" s="1577"/>
      <c r="K991" s="1577"/>
      <c r="L991" s="1577"/>
      <c r="M991" s="1577"/>
      <c r="N991" s="1577"/>
      <c r="O991" s="1577"/>
      <c r="P991" s="1577"/>
      <c r="Q991" s="1577"/>
      <c r="R991" s="1577"/>
      <c r="S991" s="1577"/>
      <c r="T991" s="1577"/>
      <c r="U991" s="1577"/>
      <c r="V991" s="1577"/>
      <c r="W991" s="1577"/>
      <c r="X991" s="1577"/>
      <c r="Y991" s="1577"/>
      <c r="Z991" s="1577"/>
      <c r="AA991" s="1578"/>
      <c r="AB991" s="1368">
        <f>SUM(AB986:AI990)</f>
        <v>395</v>
      </c>
      <c r="AC991" s="1369"/>
      <c r="AD991" s="1369"/>
      <c r="AE991" s="1369"/>
      <c r="AF991" s="1369"/>
      <c r="AG991" s="1369"/>
      <c r="AH991" s="1369"/>
      <c r="AI991" s="1370"/>
      <c r="AJ991" s="1477"/>
      <c r="AK991" s="1478"/>
      <c r="AL991" s="1478"/>
      <c r="AM991" s="1478"/>
      <c r="AN991" s="1478"/>
      <c r="AO991" s="1478"/>
      <c r="AP991" s="1478"/>
      <c r="AQ991" s="1479"/>
      <c r="AR991" s="68"/>
      <c r="AS991" s="68"/>
      <c r="AT991" s="68"/>
      <c r="AU991" s="68"/>
      <c r="AV991" s="68"/>
      <c r="AW991" s="68"/>
      <c r="AX991" s="68"/>
      <c r="AY991" s="68"/>
      <c r="AZ991" s="34"/>
      <c r="BA991" s="34"/>
      <c r="BB991" s="14"/>
      <c r="BC991" s="14"/>
    </row>
    <row r="992" spans="1:64" ht="12.95" customHeight="1">
      <c r="A992" s="14"/>
      <c r="B992" s="1542" t="s">
        <v>512</v>
      </c>
      <c r="C992" s="1543"/>
      <c r="D992" s="1543"/>
      <c r="E992" s="1543"/>
      <c r="F992" s="1543"/>
      <c r="G992" s="1543"/>
      <c r="H992" s="1543"/>
      <c r="I992" s="1543"/>
      <c r="J992" s="1543"/>
      <c r="K992" s="1543"/>
      <c r="L992" s="1543"/>
      <c r="M992" s="1543"/>
      <c r="N992" s="1543"/>
      <c r="O992" s="1543"/>
      <c r="P992" s="1543"/>
      <c r="Q992" s="1543"/>
      <c r="R992" s="1543"/>
      <c r="S992" s="1543"/>
      <c r="T992" s="1543"/>
      <c r="U992" s="1543"/>
      <c r="V992" s="1543"/>
      <c r="W992" s="1543"/>
      <c r="X992" s="1543"/>
      <c r="Y992" s="1543"/>
      <c r="Z992" s="1543"/>
      <c r="AA992" s="1543"/>
      <c r="AB992" s="1543"/>
      <c r="AC992" s="1543"/>
      <c r="AD992" s="1543"/>
      <c r="AE992" s="1543"/>
      <c r="AF992" s="1543"/>
      <c r="AG992" s="1543"/>
      <c r="AH992" s="1543"/>
      <c r="AI992" s="1544"/>
      <c r="AJ992" s="1477">
        <f>SUM(AJ986:AQ990)</f>
        <v>202477675</v>
      </c>
      <c r="AK992" s="1478"/>
      <c r="AL992" s="1478"/>
      <c r="AM992" s="1478"/>
      <c r="AN992" s="1478"/>
      <c r="AO992" s="1478"/>
      <c r="AP992" s="1478"/>
      <c r="AQ992" s="1479"/>
      <c r="AR992" s="68"/>
      <c r="AS992" s="68"/>
      <c r="AT992" s="68"/>
      <c r="AU992" s="68"/>
      <c r="AV992" s="68"/>
      <c r="AW992" s="68"/>
      <c r="AX992" s="68"/>
      <c r="AY992" s="68"/>
      <c r="AZ992" s="34"/>
      <c r="BB992" s="34"/>
      <c r="BC992" s="34"/>
    </row>
    <row r="993" spans="1:55" ht="12.95" customHeight="1">
      <c r="A993" s="14"/>
      <c r="B993" s="1480"/>
      <c r="C993" s="1481"/>
      <c r="D993" s="1481"/>
      <c r="E993" s="1481"/>
      <c r="F993" s="1481"/>
      <c r="G993" s="1481"/>
      <c r="H993" s="1481"/>
      <c r="I993" s="1481"/>
      <c r="J993" s="1481"/>
      <c r="K993" s="1481"/>
      <c r="L993" s="1481"/>
      <c r="M993" s="1481"/>
      <c r="N993" s="1481"/>
      <c r="O993" s="1481"/>
      <c r="P993" s="1481"/>
      <c r="Q993" s="1481"/>
      <c r="R993" s="1481"/>
      <c r="S993" s="1481"/>
      <c r="T993" s="1481"/>
      <c r="U993" s="1481"/>
      <c r="V993" s="1481"/>
      <c r="W993" s="1481"/>
      <c r="X993" s="1481"/>
      <c r="Y993" s="1481"/>
      <c r="Z993" s="1481"/>
      <c r="AA993" s="1481"/>
      <c r="AB993" s="1481"/>
      <c r="AC993" s="1481"/>
      <c r="AD993" s="1481"/>
      <c r="AE993" s="1482"/>
      <c r="AF993" s="1486" t="s">
        <v>666</v>
      </c>
      <c r="AG993" s="1487"/>
      <c r="AH993" s="1487"/>
      <c r="AI993" s="1488"/>
      <c r="AJ993" s="1480"/>
      <c r="AK993" s="1481"/>
      <c r="AL993" s="1481"/>
      <c r="AM993" s="1481"/>
      <c r="AN993" s="1481"/>
      <c r="AO993" s="1481"/>
      <c r="AP993" s="1481"/>
      <c r="AQ993" s="1482"/>
      <c r="AR993" s="68"/>
      <c r="AS993" s="68"/>
      <c r="AT993" s="68"/>
      <c r="AU993" s="68"/>
      <c r="AV993" s="68"/>
      <c r="AW993" s="68"/>
      <c r="AX993" s="68"/>
      <c r="AY993" s="68"/>
      <c r="AZ993" s="34"/>
      <c r="BA993" s="34"/>
      <c r="BB993" s="34"/>
      <c r="BC993" s="34"/>
    </row>
    <row r="994" spans="1:55" ht="12.95" customHeight="1">
      <c r="A994" s="14"/>
      <c r="B994" s="73"/>
      <c r="C994" s="926" t="s">
        <v>668</v>
      </c>
      <c r="D994" s="1493" t="s">
        <v>1219</v>
      </c>
      <c r="E994" s="1494"/>
      <c r="F994" s="1494"/>
      <c r="G994" s="1494"/>
      <c r="H994" s="1494"/>
      <c r="I994" s="1494"/>
      <c r="J994" s="1494"/>
      <c r="K994" s="1494"/>
      <c r="L994" s="1494"/>
      <c r="M994" s="1494"/>
      <c r="N994" s="1494"/>
      <c r="O994" s="1494"/>
      <c r="P994" s="1494"/>
      <c r="Q994" s="1494"/>
      <c r="R994" s="1494"/>
      <c r="S994" s="1494"/>
      <c r="T994" s="1494"/>
      <c r="U994" s="1494"/>
      <c r="V994" s="1494"/>
      <c r="W994" s="1494"/>
      <c r="X994" s="1494"/>
      <c r="Y994" s="1494"/>
      <c r="Z994" s="1494"/>
      <c r="AA994" s="1494"/>
      <c r="AB994" s="1494"/>
      <c r="AC994" s="1494"/>
      <c r="AD994" s="1494"/>
      <c r="AE994" s="1495"/>
      <c r="AF994" s="79"/>
      <c r="AG994" s="1489" t="s">
        <v>669</v>
      </c>
      <c r="AH994" s="1490"/>
      <c r="AI994" s="87"/>
      <c r="AJ994" s="1395">
        <f>ROUND(IF(AND(AG994="yes",D1000&gt;0),AJ992*0.2,0),0)</f>
        <v>0</v>
      </c>
      <c r="AK994" s="1396"/>
      <c r="AL994" s="1396"/>
      <c r="AM994" s="1396"/>
      <c r="AN994" s="1396"/>
      <c r="AO994" s="1396"/>
      <c r="AP994" s="1396"/>
      <c r="AQ994" s="1397"/>
      <c r="AR994" s="68"/>
      <c r="AS994" s="68"/>
      <c r="AT994" s="68"/>
      <c r="AU994" s="68"/>
      <c r="AV994" s="68"/>
      <c r="AW994" s="68"/>
      <c r="AX994" s="68"/>
      <c r="AY994" s="68"/>
      <c r="AZ994" s="34"/>
      <c r="BA994" s="34"/>
      <c r="BB994" s="34"/>
      <c r="BC994" s="34"/>
    </row>
    <row r="995" spans="1:55" ht="12.95" customHeight="1">
      <c r="A995" s="14"/>
      <c r="B995" s="257"/>
      <c r="C995" s="256"/>
      <c r="D995" s="1525" t="s">
        <v>2235</v>
      </c>
      <c r="E995" s="1526"/>
      <c r="F995" s="1526"/>
      <c r="G995" s="1526"/>
      <c r="H995" s="1526"/>
      <c r="I995" s="1526"/>
      <c r="J995" s="1526"/>
      <c r="K995" s="1526"/>
      <c r="L995" s="1526"/>
      <c r="M995" s="1526"/>
      <c r="N995" s="1526"/>
      <c r="O995" s="1526"/>
      <c r="P995" s="1526"/>
      <c r="Q995" s="1526"/>
      <c r="R995" s="1526"/>
      <c r="S995" s="1526"/>
      <c r="T995" s="1526"/>
      <c r="U995" s="1526"/>
      <c r="V995" s="1526"/>
      <c r="W995" s="1526"/>
      <c r="X995" s="1526"/>
      <c r="Y995" s="1526"/>
      <c r="Z995" s="1526"/>
      <c r="AA995" s="1526"/>
      <c r="AB995" s="1526"/>
      <c r="AC995" s="1526"/>
      <c r="AD995" s="1526"/>
      <c r="AE995" s="1527"/>
      <c r="AF995" s="73"/>
      <c r="AG995" s="14"/>
      <c r="AH995" s="14"/>
      <c r="AI995" s="83"/>
      <c r="AJ995" s="1398"/>
      <c r="AK995" s="1399"/>
      <c r="AL995" s="1399"/>
      <c r="AM995" s="1399"/>
      <c r="AN995" s="1399"/>
      <c r="AO995" s="1399"/>
      <c r="AP995" s="1399"/>
      <c r="AQ995" s="1400"/>
      <c r="AR995" s="68"/>
      <c r="AS995" s="68"/>
      <c r="AT995" s="68"/>
      <c r="AU995" s="68"/>
      <c r="AV995" s="68"/>
      <c r="AW995" s="68"/>
      <c r="AX995" s="68"/>
      <c r="AY995" s="68"/>
      <c r="AZ995" s="34"/>
      <c r="BA995" s="34"/>
      <c r="BB995" s="34"/>
      <c r="BC995" s="34"/>
    </row>
    <row r="996" spans="1:55" ht="12.95" customHeight="1">
      <c r="A996" s="14"/>
      <c r="B996" s="257"/>
      <c r="C996" s="256"/>
      <c r="D996" s="1525"/>
      <c r="E996" s="1526"/>
      <c r="F996" s="1526"/>
      <c r="G996" s="1526"/>
      <c r="H996" s="1526"/>
      <c r="I996" s="1526"/>
      <c r="J996" s="1526"/>
      <c r="K996" s="1526"/>
      <c r="L996" s="1526"/>
      <c r="M996" s="1526"/>
      <c r="N996" s="1526"/>
      <c r="O996" s="1526"/>
      <c r="P996" s="1526"/>
      <c r="Q996" s="1526"/>
      <c r="R996" s="1526"/>
      <c r="S996" s="1526"/>
      <c r="T996" s="1526"/>
      <c r="U996" s="1526"/>
      <c r="V996" s="1526"/>
      <c r="W996" s="1526"/>
      <c r="X996" s="1526"/>
      <c r="Y996" s="1526"/>
      <c r="Z996" s="1526"/>
      <c r="AA996" s="1526"/>
      <c r="AB996" s="1526"/>
      <c r="AC996" s="1526"/>
      <c r="AD996" s="1526"/>
      <c r="AE996" s="1527"/>
      <c r="AF996" s="73"/>
      <c r="AG996" s="14"/>
      <c r="AH996" s="14"/>
      <c r="AI996" s="83"/>
      <c r="AJ996" s="1398"/>
      <c r="AK996" s="1399"/>
      <c r="AL996" s="1399"/>
      <c r="AM996" s="1399"/>
      <c r="AN996" s="1399"/>
      <c r="AO996" s="1399"/>
      <c r="AP996" s="1399"/>
      <c r="AQ996" s="1400"/>
      <c r="AR996" s="68"/>
      <c r="AS996" s="68"/>
      <c r="AT996" s="68"/>
      <c r="AU996" s="68"/>
      <c r="AV996" s="68"/>
      <c r="AW996" s="68"/>
      <c r="AX996" s="68"/>
      <c r="AY996" s="68"/>
      <c r="AZ996" s="34"/>
      <c r="BA996" s="34"/>
      <c r="BB996" s="34"/>
      <c r="BC996" s="34"/>
    </row>
    <row r="997" spans="1:55" ht="12.95" customHeight="1">
      <c r="A997" s="14"/>
      <c r="B997" s="257"/>
      <c r="C997" s="256"/>
      <c r="D997" s="1525"/>
      <c r="E997" s="1526"/>
      <c r="F997" s="1526"/>
      <c r="G997" s="1526"/>
      <c r="H997" s="1526"/>
      <c r="I997" s="1526"/>
      <c r="J997" s="1526"/>
      <c r="K997" s="1526"/>
      <c r="L997" s="1526"/>
      <c r="M997" s="1526"/>
      <c r="N997" s="1526"/>
      <c r="O997" s="1526"/>
      <c r="P997" s="1526"/>
      <c r="Q997" s="1526"/>
      <c r="R997" s="1526"/>
      <c r="S997" s="1526"/>
      <c r="T997" s="1526"/>
      <c r="U997" s="1526"/>
      <c r="V997" s="1526"/>
      <c r="W997" s="1526"/>
      <c r="X997" s="1526"/>
      <c r="Y997" s="1526"/>
      <c r="Z997" s="1526"/>
      <c r="AA997" s="1526"/>
      <c r="AB997" s="1526"/>
      <c r="AC997" s="1526"/>
      <c r="AD997" s="1526"/>
      <c r="AE997" s="1527"/>
      <c r="AF997" s="73"/>
      <c r="AG997" s="14"/>
      <c r="AH997" s="14"/>
      <c r="AI997" s="83"/>
      <c r="AJ997" s="1398"/>
      <c r="AK997" s="1399"/>
      <c r="AL997" s="1399"/>
      <c r="AM997" s="1399"/>
      <c r="AN997" s="1399"/>
      <c r="AO997" s="1399"/>
      <c r="AP997" s="1399"/>
      <c r="AQ997" s="1400"/>
      <c r="AR997" s="68"/>
      <c r="AS997" s="68"/>
      <c r="AT997" s="68"/>
      <c r="AU997" s="68"/>
      <c r="AV997" s="68"/>
      <c r="AW997" s="68"/>
      <c r="AX997" s="68"/>
      <c r="AY997" s="68"/>
      <c r="AZ997" s="34"/>
      <c r="BA997" s="34"/>
      <c r="BB997" s="34"/>
      <c r="BC997" s="34"/>
    </row>
    <row r="998" spans="1:55" ht="12.95" customHeight="1">
      <c r="A998" s="14"/>
      <c r="B998" s="257"/>
      <c r="C998" s="256"/>
      <c r="D998" s="1525"/>
      <c r="E998" s="1526"/>
      <c r="F998" s="1526"/>
      <c r="G998" s="1526"/>
      <c r="H998" s="1526"/>
      <c r="I998" s="1526"/>
      <c r="J998" s="1526"/>
      <c r="K998" s="1526"/>
      <c r="L998" s="1526"/>
      <c r="M998" s="1526"/>
      <c r="N998" s="1526"/>
      <c r="O998" s="1526"/>
      <c r="P998" s="1526"/>
      <c r="Q998" s="1526"/>
      <c r="R998" s="1526"/>
      <c r="S998" s="1526"/>
      <c r="T998" s="1526"/>
      <c r="U998" s="1526"/>
      <c r="V998" s="1526"/>
      <c r="W998" s="1526"/>
      <c r="X998" s="1526"/>
      <c r="Y998" s="1526"/>
      <c r="Z998" s="1526"/>
      <c r="AA998" s="1526"/>
      <c r="AB998" s="1526"/>
      <c r="AC998" s="1526"/>
      <c r="AD998" s="1526"/>
      <c r="AE998" s="1527"/>
      <c r="AF998" s="73"/>
      <c r="AG998" s="14"/>
      <c r="AH998" s="14"/>
      <c r="AI998" s="83"/>
      <c r="AJ998" s="1398"/>
      <c r="AK998" s="1399"/>
      <c r="AL998" s="1399"/>
      <c r="AM998" s="1399"/>
      <c r="AN998" s="1399"/>
      <c r="AO998" s="1399"/>
      <c r="AP998" s="1399"/>
      <c r="AQ998" s="1400"/>
      <c r="AR998" s="68"/>
      <c r="AS998" s="68"/>
      <c r="AT998" s="68"/>
      <c r="AU998" s="68"/>
      <c r="AV998" s="68"/>
      <c r="AW998" s="68"/>
      <c r="AX998" s="68"/>
      <c r="AY998" s="68"/>
      <c r="AZ998" s="34"/>
      <c r="BA998" s="34"/>
      <c r="BB998" s="34"/>
      <c r="BC998" s="34"/>
    </row>
    <row r="999" spans="1:55" ht="12.95" customHeight="1">
      <c r="A999" s="14"/>
      <c r="B999" s="257"/>
      <c r="C999" s="256"/>
      <c r="D999" s="1528" t="s">
        <v>2205</v>
      </c>
      <c r="E999" s="1529"/>
      <c r="F999" s="1529"/>
      <c r="G999" s="1529"/>
      <c r="H999" s="1529"/>
      <c r="I999" s="1529"/>
      <c r="J999" s="1529"/>
      <c r="K999" s="1529"/>
      <c r="L999" s="1529"/>
      <c r="M999" s="1529"/>
      <c r="N999" s="1529"/>
      <c r="O999" s="1529"/>
      <c r="P999" s="1529"/>
      <c r="Q999" s="1529"/>
      <c r="R999" s="1529"/>
      <c r="S999" s="1529"/>
      <c r="T999" s="1529"/>
      <c r="U999" s="1529"/>
      <c r="V999" s="1529"/>
      <c r="W999" s="1529"/>
      <c r="X999" s="1529"/>
      <c r="Y999" s="1529"/>
      <c r="Z999" s="1529"/>
      <c r="AA999" s="1529"/>
      <c r="AB999" s="1529"/>
      <c r="AC999" s="1529"/>
      <c r="AD999" s="1529"/>
      <c r="AE999" s="1530"/>
      <c r="AF999" s="73"/>
      <c r="AG999" s="14"/>
      <c r="AH999" s="14"/>
      <c r="AI999" s="83"/>
      <c r="AJ999" s="1398"/>
      <c r="AK999" s="1399"/>
      <c r="AL999" s="1399"/>
      <c r="AM999" s="1399"/>
      <c r="AN999" s="1399"/>
      <c r="AO999" s="1399"/>
      <c r="AP999" s="1399"/>
      <c r="AQ999" s="1400"/>
      <c r="AR999" s="68"/>
      <c r="AS999" s="68"/>
      <c r="AT999" s="68"/>
      <c r="AU999" s="68"/>
      <c r="AV999" s="68"/>
      <c r="AW999" s="68"/>
      <c r="AX999" s="68"/>
      <c r="AY999" s="68"/>
      <c r="AZ999" s="34"/>
      <c r="BA999" s="34"/>
      <c r="BB999" s="34"/>
      <c r="BC999" s="34"/>
    </row>
    <row r="1000" spans="1:55" ht="12.95" customHeight="1">
      <c r="A1000" s="14"/>
      <c r="B1000" s="257"/>
      <c r="C1000" s="256"/>
      <c r="D1000" s="1579"/>
      <c r="E1000" s="1580"/>
      <c r="F1000" s="1580"/>
      <c r="G1000" s="1580"/>
      <c r="H1000" s="1580"/>
      <c r="I1000" s="1580"/>
      <c r="J1000" s="1580"/>
      <c r="K1000" s="1580"/>
      <c r="L1000" s="1580"/>
      <c r="M1000" s="1580"/>
      <c r="N1000" s="1580"/>
      <c r="O1000" s="1580"/>
      <c r="P1000" s="1580"/>
      <c r="Q1000" s="1580"/>
      <c r="R1000" s="1580"/>
      <c r="S1000" s="1580"/>
      <c r="T1000" s="1580"/>
      <c r="U1000" s="1580"/>
      <c r="V1000" s="1580"/>
      <c r="W1000" s="1580"/>
      <c r="X1000" s="1580"/>
      <c r="Y1000" s="1580"/>
      <c r="Z1000" s="1580"/>
      <c r="AA1000" s="1580"/>
      <c r="AB1000" s="1580"/>
      <c r="AC1000" s="1580"/>
      <c r="AD1000" s="1580"/>
      <c r="AE1000" s="1581"/>
      <c r="AF1000" s="77"/>
      <c r="AG1000" s="7"/>
      <c r="AH1000" s="7"/>
      <c r="AI1000" s="78"/>
      <c r="AJ1000" s="1401"/>
      <c r="AK1000" s="1402"/>
      <c r="AL1000" s="1402"/>
      <c r="AM1000" s="1402"/>
      <c r="AN1000" s="1402"/>
      <c r="AO1000" s="1402"/>
      <c r="AP1000" s="1402"/>
      <c r="AQ1000" s="1403"/>
      <c r="AR1000" s="68"/>
      <c r="AS1000" s="68"/>
      <c r="AT1000" s="68"/>
      <c r="AU1000" s="68"/>
      <c r="AV1000" s="68"/>
      <c r="AW1000" s="68"/>
      <c r="AX1000" s="68"/>
      <c r="AY1000" s="68"/>
      <c r="AZ1000" s="34"/>
      <c r="BA1000" s="34"/>
      <c r="BB1000" s="34"/>
      <c r="BC1000" s="34"/>
    </row>
    <row r="1001" spans="1:55" ht="12.95" customHeight="1">
      <c r="A1001" s="14"/>
      <c r="B1001" s="255"/>
      <c r="C1001" s="318"/>
      <c r="D1001" s="1483" t="s">
        <v>1285</v>
      </c>
      <c r="E1001" s="1484"/>
      <c r="F1001" s="1484"/>
      <c r="G1001" s="1484"/>
      <c r="H1001" s="1484"/>
      <c r="I1001" s="1484"/>
      <c r="J1001" s="1484"/>
      <c r="K1001" s="1484"/>
      <c r="L1001" s="1484"/>
      <c r="M1001" s="1484"/>
      <c r="N1001" s="1484"/>
      <c r="O1001" s="1484"/>
      <c r="P1001" s="1484"/>
      <c r="Q1001" s="1484"/>
      <c r="R1001" s="1484"/>
      <c r="S1001" s="1484"/>
      <c r="T1001" s="1484"/>
      <c r="U1001" s="1484"/>
      <c r="V1001" s="1484"/>
      <c r="W1001" s="1484"/>
      <c r="X1001" s="1484"/>
      <c r="Y1001" s="1484"/>
      <c r="Z1001" s="1484"/>
      <c r="AA1001" s="1484"/>
      <c r="AB1001" s="1484"/>
      <c r="AC1001" s="1484"/>
      <c r="AD1001" s="1484"/>
      <c r="AE1001" s="1485"/>
      <c r="AF1001" s="79"/>
      <c r="AG1001" s="1491" t="s">
        <v>669</v>
      </c>
      <c r="AH1001" s="1492"/>
      <c r="AI1001" s="87"/>
      <c r="AJ1001" s="1395">
        <f>ROUND(IF(AG1001="yes",AJ992*0.05,0),0)</f>
        <v>0</v>
      </c>
      <c r="AK1001" s="1396"/>
      <c r="AL1001" s="1396"/>
      <c r="AM1001" s="1396"/>
      <c r="AN1001" s="1396"/>
      <c r="AO1001" s="1396"/>
      <c r="AP1001" s="1396"/>
      <c r="AQ1001" s="1397"/>
      <c r="AR1001" s="68"/>
      <c r="AS1001" s="68"/>
      <c r="AT1001" s="68"/>
      <c r="AU1001" s="68"/>
      <c r="AV1001" s="68"/>
      <c r="AW1001" s="68"/>
      <c r="AX1001" s="68"/>
      <c r="AY1001" s="68"/>
      <c r="AZ1001" s="34"/>
      <c r="BA1001" s="34"/>
      <c r="BB1001" s="34"/>
      <c r="BC1001" s="34"/>
    </row>
    <row r="1002" spans="1:55" ht="12.95" customHeight="1">
      <c r="A1002" s="14"/>
      <c r="B1002" s="257"/>
      <c r="C1002" s="82"/>
      <c r="D1002" s="1525" t="s">
        <v>1283</v>
      </c>
      <c r="E1002" s="1526"/>
      <c r="F1002" s="1526"/>
      <c r="G1002" s="1526"/>
      <c r="H1002" s="1526"/>
      <c r="I1002" s="1526"/>
      <c r="J1002" s="1526"/>
      <c r="K1002" s="1526"/>
      <c r="L1002" s="1526"/>
      <c r="M1002" s="1526"/>
      <c r="N1002" s="1526"/>
      <c r="O1002" s="1526"/>
      <c r="P1002" s="1526"/>
      <c r="Q1002" s="1526"/>
      <c r="R1002" s="1526"/>
      <c r="S1002" s="1526"/>
      <c r="T1002" s="1526"/>
      <c r="U1002" s="1526"/>
      <c r="V1002" s="1526"/>
      <c r="W1002" s="1526"/>
      <c r="X1002" s="1526"/>
      <c r="Y1002" s="1526"/>
      <c r="Z1002" s="1526"/>
      <c r="AA1002" s="1526"/>
      <c r="AB1002" s="1526"/>
      <c r="AC1002" s="1526"/>
      <c r="AD1002" s="1526"/>
      <c r="AE1002" s="1527"/>
      <c r="AF1002" s="73"/>
      <c r="AG1002" s="14"/>
      <c r="AH1002" s="14"/>
      <c r="AI1002" s="83"/>
      <c r="AJ1002" s="1398"/>
      <c r="AK1002" s="1399"/>
      <c r="AL1002" s="1399"/>
      <c r="AM1002" s="1399"/>
      <c r="AN1002" s="1399"/>
      <c r="AO1002" s="1399"/>
      <c r="AP1002" s="1399"/>
      <c r="AQ1002" s="1400"/>
      <c r="AR1002" s="68"/>
      <c r="AS1002" s="68"/>
      <c r="AT1002" s="68"/>
      <c r="AU1002" s="68"/>
      <c r="AV1002" s="68"/>
      <c r="AW1002" s="68"/>
      <c r="AX1002" s="68"/>
      <c r="AY1002" s="34"/>
      <c r="AZ1002" s="34"/>
      <c r="BB1002" s="34"/>
    </row>
    <row r="1003" spans="1:55" ht="12.95" customHeight="1">
      <c r="A1003" s="14"/>
      <c r="B1003" s="257"/>
      <c r="C1003" s="82"/>
      <c r="D1003" s="1525"/>
      <c r="E1003" s="1526"/>
      <c r="F1003" s="1526"/>
      <c r="G1003" s="1526"/>
      <c r="H1003" s="1526"/>
      <c r="I1003" s="1526"/>
      <c r="J1003" s="1526"/>
      <c r="K1003" s="1526"/>
      <c r="L1003" s="1526"/>
      <c r="M1003" s="1526"/>
      <c r="N1003" s="1526"/>
      <c r="O1003" s="1526"/>
      <c r="P1003" s="1526"/>
      <c r="Q1003" s="1526"/>
      <c r="R1003" s="1526"/>
      <c r="S1003" s="1526"/>
      <c r="T1003" s="1526"/>
      <c r="U1003" s="1526"/>
      <c r="V1003" s="1526"/>
      <c r="W1003" s="1526"/>
      <c r="X1003" s="1526"/>
      <c r="Y1003" s="1526"/>
      <c r="Z1003" s="1526"/>
      <c r="AA1003" s="1526"/>
      <c r="AB1003" s="1526"/>
      <c r="AC1003" s="1526"/>
      <c r="AD1003" s="1526"/>
      <c r="AE1003" s="1527"/>
      <c r="AF1003" s="73"/>
      <c r="AG1003" s="14"/>
      <c r="AH1003" s="14"/>
      <c r="AI1003" s="83"/>
      <c r="AJ1003" s="1398"/>
      <c r="AK1003" s="1399"/>
      <c r="AL1003" s="1399"/>
      <c r="AM1003" s="1399"/>
      <c r="AN1003" s="1399"/>
      <c r="AO1003" s="1399"/>
      <c r="AP1003" s="1399"/>
      <c r="AQ1003" s="1400"/>
      <c r="AR1003" s="68"/>
      <c r="AS1003" s="68"/>
      <c r="AT1003" s="68"/>
      <c r="AU1003" s="68"/>
      <c r="AV1003" s="68"/>
      <c r="AW1003" s="68"/>
      <c r="AX1003" s="68"/>
      <c r="AY1003" s="913">
        <f>G753+O797</f>
        <v>391</v>
      </c>
      <c r="AZ1003" s="34"/>
      <c r="BB1003" s="34"/>
    </row>
    <row r="1004" spans="1:55" ht="12.95" customHeight="1">
      <c r="A1004" s="14"/>
      <c r="B1004" s="257"/>
      <c r="C1004" s="82"/>
      <c r="D1004" s="1525"/>
      <c r="E1004" s="1526"/>
      <c r="F1004" s="1526"/>
      <c r="G1004" s="1526"/>
      <c r="H1004" s="1526"/>
      <c r="I1004" s="1526"/>
      <c r="J1004" s="1526"/>
      <c r="K1004" s="1526"/>
      <c r="L1004" s="1526"/>
      <c r="M1004" s="1526"/>
      <c r="N1004" s="1526"/>
      <c r="O1004" s="1526"/>
      <c r="P1004" s="1526"/>
      <c r="Q1004" s="1526"/>
      <c r="R1004" s="1526"/>
      <c r="S1004" s="1526"/>
      <c r="T1004" s="1526"/>
      <c r="U1004" s="1526"/>
      <c r="V1004" s="1526"/>
      <c r="W1004" s="1526"/>
      <c r="X1004" s="1526"/>
      <c r="Y1004" s="1526"/>
      <c r="Z1004" s="1526"/>
      <c r="AA1004" s="1526"/>
      <c r="AB1004" s="1526"/>
      <c r="AC1004" s="1526"/>
      <c r="AD1004" s="1526"/>
      <c r="AE1004" s="1527"/>
      <c r="AF1004" s="73"/>
      <c r="AG1004" s="14"/>
      <c r="AH1004" s="14"/>
      <c r="AI1004" s="83"/>
      <c r="AJ1004" s="1398"/>
      <c r="AK1004" s="1399"/>
      <c r="AL1004" s="1399"/>
      <c r="AM1004" s="1399"/>
      <c r="AN1004" s="1399"/>
      <c r="AO1004" s="1399"/>
      <c r="AP1004" s="1399"/>
      <c r="AQ1004" s="1400"/>
      <c r="AR1004" s="68"/>
      <c r="AS1004" s="68"/>
      <c r="AT1004" s="68"/>
      <c r="AU1004" s="68"/>
      <c r="AV1004" s="68"/>
      <c r="AW1004" s="68"/>
      <c r="AX1004" s="68"/>
      <c r="AY1004" s="14"/>
      <c r="AZ1004" s="34"/>
      <c r="BB1004" s="34"/>
    </row>
    <row r="1005" spans="1:55" ht="12.95" customHeight="1">
      <c r="A1005" s="14"/>
      <c r="B1005" s="257"/>
      <c r="C1005" s="82"/>
      <c r="D1005" s="1525"/>
      <c r="E1005" s="1526"/>
      <c r="F1005" s="1526"/>
      <c r="G1005" s="1526"/>
      <c r="H1005" s="1526"/>
      <c r="I1005" s="1526"/>
      <c r="J1005" s="1526"/>
      <c r="K1005" s="1526"/>
      <c r="L1005" s="1526"/>
      <c r="M1005" s="1526"/>
      <c r="N1005" s="1526"/>
      <c r="O1005" s="1526"/>
      <c r="P1005" s="1526"/>
      <c r="Q1005" s="1526"/>
      <c r="R1005" s="1526"/>
      <c r="S1005" s="1526"/>
      <c r="T1005" s="1526"/>
      <c r="U1005" s="1526"/>
      <c r="V1005" s="1526"/>
      <c r="W1005" s="1526"/>
      <c r="X1005" s="1526"/>
      <c r="Y1005" s="1526"/>
      <c r="Z1005" s="1526"/>
      <c r="AA1005" s="1526"/>
      <c r="AB1005" s="1526"/>
      <c r="AC1005" s="1526"/>
      <c r="AD1005" s="1526"/>
      <c r="AE1005" s="1527"/>
      <c r="AF1005" s="73"/>
      <c r="AG1005" s="14"/>
      <c r="AH1005" s="14"/>
      <c r="AI1005" s="83"/>
      <c r="AJ1005" s="1398"/>
      <c r="AK1005" s="1399"/>
      <c r="AL1005" s="1399"/>
      <c r="AM1005" s="1399"/>
      <c r="AN1005" s="1399"/>
      <c r="AO1005" s="1399"/>
      <c r="AP1005" s="1399"/>
      <c r="AQ1005" s="1400"/>
      <c r="AR1005" s="68"/>
      <c r="AS1005" s="68"/>
      <c r="AT1005" s="68"/>
      <c r="AU1005" s="68"/>
      <c r="AV1005" s="68"/>
      <c r="AW1005" s="68"/>
      <c r="AX1005" s="68"/>
      <c r="AY1005" s="912">
        <f>ROUNDDOWN(X1048/I1048,2)</f>
        <v>0.09</v>
      </c>
      <c r="AZ1005" s="34"/>
      <c r="BB1005" s="34"/>
    </row>
    <row r="1006" spans="1:55" ht="12.95" customHeight="1">
      <c r="A1006" s="14"/>
      <c r="B1006" s="75"/>
      <c r="C1006" s="76"/>
      <c r="D1006" s="1528"/>
      <c r="E1006" s="1529"/>
      <c r="F1006" s="1529"/>
      <c r="G1006" s="1529"/>
      <c r="H1006" s="1529"/>
      <c r="I1006" s="1529"/>
      <c r="J1006" s="1529"/>
      <c r="K1006" s="1529"/>
      <c r="L1006" s="1529"/>
      <c r="M1006" s="1529"/>
      <c r="N1006" s="1529"/>
      <c r="O1006" s="1529"/>
      <c r="P1006" s="1529"/>
      <c r="Q1006" s="1529"/>
      <c r="R1006" s="1529"/>
      <c r="S1006" s="1529"/>
      <c r="T1006" s="1529"/>
      <c r="U1006" s="1529"/>
      <c r="V1006" s="1529"/>
      <c r="W1006" s="1529"/>
      <c r="X1006" s="1529"/>
      <c r="Y1006" s="1529"/>
      <c r="Z1006" s="1529"/>
      <c r="AA1006" s="1529"/>
      <c r="AB1006" s="1529"/>
      <c r="AC1006" s="1529"/>
      <c r="AD1006" s="1529"/>
      <c r="AE1006" s="1530"/>
      <c r="AF1006" s="77"/>
      <c r="AG1006" s="7"/>
      <c r="AH1006" s="7"/>
      <c r="AI1006" s="78"/>
      <c r="AJ1006" s="1401"/>
      <c r="AK1006" s="1402"/>
      <c r="AL1006" s="1402"/>
      <c r="AM1006" s="1402"/>
      <c r="AN1006" s="1402"/>
      <c r="AO1006" s="1402"/>
      <c r="AP1006" s="1402"/>
      <c r="AQ1006" s="1403"/>
      <c r="AR1006" s="68"/>
      <c r="AS1006" s="68"/>
      <c r="AT1006" s="68"/>
      <c r="AU1006" s="68"/>
      <c r="AV1006" s="68"/>
      <c r="AW1006" s="68"/>
      <c r="AX1006" s="68"/>
      <c r="AY1006" s="912">
        <f>ROUNDDOWN(X1052/I1052,2)</f>
        <v>0.1</v>
      </c>
      <c r="AZ1006" s="34"/>
      <c r="BB1006" s="34"/>
    </row>
    <row r="1007" spans="1:55" ht="12.95" customHeight="1">
      <c r="A1007" s="14"/>
      <c r="B1007" s="255"/>
      <c r="C1007" s="80" t="s">
        <v>672</v>
      </c>
      <c r="D1007" s="1483" t="s">
        <v>1682</v>
      </c>
      <c r="E1007" s="1484"/>
      <c r="F1007" s="1484"/>
      <c r="G1007" s="1484"/>
      <c r="H1007" s="1484"/>
      <c r="I1007" s="1484"/>
      <c r="J1007" s="1484"/>
      <c r="K1007" s="1484"/>
      <c r="L1007" s="1484"/>
      <c r="M1007" s="1484"/>
      <c r="N1007" s="1484"/>
      <c r="O1007" s="1484"/>
      <c r="P1007" s="1484"/>
      <c r="Q1007" s="1484"/>
      <c r="R1007" s="1484"/>
      <c r="S1007" s="1484"/>
      <c r="T1007" s="1484"/>
      <c r="U1007" s="1484"/>
      <c r="V1007" s="1484"/>
      <c r="W1007" s="1484"/>
      <c r="X1007" s="1484"/>
      <c r="Y1007" s="1484"/>
      <c r="Z1007" s="1484"/>
      <c r="AA1007" s="1484"/>
      <c r="AB1007" s="1484"/>
      <c r="AC1007" s="1484"/>
      <c r="AD1007" s="1484"/>
      <c r="AE1007" s="1485"/>
      <c r="AF1007" s="86"/>
      <c r="AG1007" s="1491" t="s">
        <v>545</v>
      </c>
      <c r="AH1007" s="1492"/>
      <c r="AI1007" s="87"/>
      <c r="AJ1007" s="1395">
        <f>ROUND(IF(AG1007="yes",AJ992*0.1,0),0)</f>
        <v>20247768</v>
      </c>
      <c r="AK1007" s="1396"/>
      <c r="AL1007" s="1396"/>
      <c r="AM1007" s="1396"/>
      <c r="AN1007" s="1396"/>
      <c r="AO1007" s="1396"/>
      <c r="AP1007" s="1396"/>
      <c r="AQ1007" s="1397"/>
      <c r="AR1007" s="68"/>
      <c r="AS1007" s="68"/>
      <c r="AT1007" s="68"/>
      <c r="AU1007" s="68"/>
      <c r="AV1007" s="68"/>
      <c r="AW1007" s="68"/>
      <c r="AX1007" s="68"/>
      <c r="BB1007" s="34"/>
    </row>
    <row r="1008" spans="1:55" ht="12.95" customHeight="1">
      <c r="A1008" s="14"/>
      <c r="B1008" s="73"/>
      <c r="C1008" s="74"/>
      <c r="D1008" s="1496" t="s">
        <v>1284</v>
      </c>
      <c r="E1008" s="1497"/>
      <c r="F1008" s="1497"/>
      <c r="G1008" s="1497"/>
      <c r="H1008" s="1497"/>
      <c r="I1008" s="1497"/>
      <c r="J1008" s="1497"/>
      <c r="K1008" s="1497"/>
      <c r="L1008" s="1497"/>
      <c r="M1008" s="1497"/>
      <c r="N1008" s="1497"/>
      <c r="O1008" s="1497"/>
      <c r="P1008" s="1497"/>
      <c r="Q1008" s="1497"/>
      <c r="R1008" s="1497"/>
      <c r="S1008" s="1497"/>
      <c r="T1008" s="1497"/>
      <c r="U1008" s="1497"/>
      <c r="V1008" s="1497"/>
      <c r="W1008" s="1497"/>
      <c r="X1008" s="1497"/>
      <c r="Y1008" s="1497"/>
      <c r="Z1008" s="1497"/>
      <c r="AA1008" s="1497"/>
      <c r="AB1008" s="1497"/>
      <c r="AC1008" s="1497"/>
      <c r="AD1008" s="1497"/>
      <c r="AE1008" s="1498"/>
      <c r="AF1008" s="73"/>
      <c r="AI1008" s="83"/>
      <c r="AJ1008" s="1398"/>
      <c r="AK1008" s="1399"/>
      <c r="AL1008" s="1399"/>
      <c r="AM1008" s="1399"/>
      <c r="AN1008" s="1399"/>
      <c r="AO1008" s="1399"/>
      <c r="AP1008" s="1399"/>
      <c r="AQ1008" s="1400"/>
      <c r="AR1008" s="68"/>
      <c r="AS1008" s="68"/>
      <c r="AT1008" s="68"/>
      <c r="AU1008" s="68"/>
      <c r="AV1008" s="68"/>
      <c r="AW1008" s="68"/>
      <c r="AX1008" s="68"/>
    </row>
    <row r="1009" spans="1:52" ht="12.95" customHeight="1">
      <c r="A1009" s="14"/>
      <c r="B1009" s="73"/>
      <c r="C1009" s="74"/>
      <c r="D1009" s="1496"/>
      <c r="E1009" s="1497"/>
      <c r="F1009" s="1497"/>
      <c r="G1009" s="1497"/>
      <c r="H1009" s="1497"/>
      <c r="I1009" s="1497"/>
      <c r="J1009" s="1497"/>
      <c r="K1009" s="1497"/>
      <c r="L1009" s="1497"/>
      <c r="M1009" s="1497"/>
      <c r="N1009" s="1497"/>
      <c r="O1009" s="1497"/>
      <c r="P1009" s="1497"/>
      <c r="Q1009" s="1497"/>
      <c r="R1009" s="1497"/>
      <c r="S1009" s="1497"/>
      <c r="T1009" s="1497"/>
      <c r="U1009" s="1497"/>
      <c r="V1009" s="1497"/>
      <c r="W1009" s="1497"/>
      <c r="X1009" s="1497"/>
      <c r="Y1009" s="1497"/>
      <c r="Z1009" s="1497"/>
      <c r="AA1009" s="1497"/>
      <c r="AB1009" s="1497"/>
      <c r="AC1009" s="1497"/>
      <c r="AD1009" s="1497"/>
      <c r="AE1009" s="1498"/>
      <c r="AF1009" s="73"/>
      <c r="AG1009" s="14"/>
      <c r="AH1009" s="14"/>
      <c r="AI1009" s="83"/>
      <c r="AJ1009" s="1398"/>
      <c r="AK1009" s="1399"/>
      <c r="AL1009" s="1399"/>
      <c r="AM1009" s="1399"/>
      <c r="AN1009" s="1399"/>
      <c r="AO1009" s="1399"/>
      <c r="AP1009" s="1399"/>
      <c r="AQ1009" s="1400"/>
      <c r="AR1009" s="68"/>
      <c r="AS1009" s="68"/>
      <c r="AT1009" s="68"/>
      <c r="AU1009" s="68"/>
      <c r="AV1009" s="68"/>
      <c r="AW1009" s="68"/>
      <c r="AX1009" s="68"/>
    </row>
    <row r="1010" spans="1:52" ht="12.95" customHeight="1">
      <c r="A1010" s="14"/>
      <c r="B1010" s="85"/>
      <c r="C1010" s="76"/>
      <c r="D1010" s="1499"/>
      <c r="E1010" s="1500"/>
      <c r="F1010" s="1500"/>
      <c r="G1010" s="1500"/>
      <c r="H1010" s="1500"/>
      <c r="I1010" s="1500"/>
      <c r="J1010" s="1500"/>
      <c r="K1010" s="1500"/>
      <c r="L1010" s="1500"/>
      <c r="M1010" s="1500"/>
      <c r="N1010" s="1500"/>
      <c r="O1010" s="1500"/>
      <c r="P1010" s="1500"/>
      <c r="Q1010" s="1500"/>
      <c r="R1010" s="1500"/>
      <c r="S1010" s="1500"/>
      <c r="T1010" s="1500"/>
      <c r="U1010" s="1500"/>
      <c r="V1010" s="1500"/>
      <c r="W1010" s="1500"/>
      <c r="X1010" s="1500"/>
      <c r="Y1010" s="1500"/>
      <c r="Z1010" s="1500"/>
      <c r="AA1010" s="1500"/>
      <c r="AB1010" s="1500"/>
      <c r="AC1010" s="1500"/>
      <c r="AD1010" s="1500"/>
      <c r="AE1010" s="1501"/>
      <c r="AF1010" s="77"/>
      <c r="AG1010" s="7"/>
      <c r="AH1010" s="7"/>
      <c r="AI1010" s="78"/>
      <c r="AJ1010" s="1401"/>
      <c r="AK1010" s="1402"/>
      <c r="AL1010" s="1402"/>
      <c r="AM1010" s="1402"/>
      <c r="AN1010" s="1402"/>
      <c r="AO1010" s="1402"/>
      <c r="AP1010" s="1402"/>
      <c r="AQ1010" s="1403"/>
      <c r="AR1010" s="68"/>
      <c r="AS1010" s="68"/>
      <c r="AT1010" s="68"/>
      <c r="AU1010" s="68"/>
      <c r="AV1010" s="68"/>
      <c r="AW1010" s="68"/>
      <c r="AX1010" s="68"/>
    </row>
    <row r="1011" spans="1:52" ht="12.95" customHeight="1">
      <c r="A1011" s="14"/>
      <c r="B1011" s="79"/>
      <c r="C1011" s="80" t="s">
        <v>212</v>
      </c>
      <c r="D1011" s="1483" t="s">
        <v>1286</v>
      </c>
      <c r="E1011" s="1484"/>
      <c r="F1011" s="1484"/>
      <c r="G1011" s="1484"/>
      <c r="H1011" s="1484"/>
      <c r="I1011" s="1484"/>
      <c r="J1011" s="1484"/>
      <c r="K1011" s="1484"/>
      <c r="L1011" s="1484"/>
      <c r="M1011" s="1484"/>
      <c r="N1011" s="1484"/>
      <c r="O1011" s="1484"/>
      <c r="P1011" s="1484"/>
      <c r="Q1011" s="1484"/>
      <c r="R1011" s="1484"/>
      <c r="S1011" s="1484"/>
      <c r="T1011" s="1484"/>
      <c r="U1011" s="1484"/>
      <c r="V1011" s="1484"/>
      <c r="W1011" s="1484"/>
      <c r="X1011" s="1484"/>
      <c r="Y1011" s="1484"/>
      <c r="Z1011" s="1484"/>
      <c r="AA1011" s="1484"/>
      <c r="AB1011" s="1484"/>
      <c r="AC1011" s="1484"/>
      <c r="AD1011" s="1484"/>
      <c r="AE1011" s="1485"/>
      <c r="AF1011" s="79"/>
      <c r="AG1011" s="1491" t="s">
        <v>669</v>
      </c>
      <c r="AH1011" s="1492"/>
      <c r="AI1011" s="87"/>
      <c r="AJ1011" s="1395">
        <f>ROUND(IF(AG1011="yes",AJ992*0.02,0),0)</f>
        <v>0</v>
      </c>
      <c r="AK1011" s="1396"/>
      <c r="AL1011" s="1396"/>
      <c r="AM1011" s="1396"/>
      <c r="AN1011" s="1396"/>
      <c r="AO1011" s="1396"/>
      <c r="AP1011" s="1396"/>
      <c r="AQ1011" s="1397"/>
      <c r="AR1011" s="68"/>
      <c r="AS1011" s="68"/>
      <c r="AT1011" s="68"/>
      <c r="AU1011" s="68"/>
      <c r="AV1011" s="68"/>
      <c r="AW1011" s="68"/>
      <c r="AX1011" s="68"/>
    </row>
    <row r="1012" spans="1:52" ht="14.25" customHeight="1">
      <c r="A1012" s="14"/>
      <c r="B1012" s="73"/>
      <c r="C1012" s="74"/>
      <c r="D1012" s="1499" t="s">
        <v>1287</v>
      </c>
      <c r="E1012" s="1500"/>
      <c r="F1012" s="1500"/>
      <c r="G1012" s="1500"/>
      <c r="H1012" s="1500"/>
      <c r="I1012" s="1500"/>
      <c r="J1012" s="1500"/>
      <c r="K1012" s="1500"/>
      <c r="L1012" s="1500"/>
      <c r="M1012" s="1500"/>
      <c r="N1012" s="1500"/>
      <c r="O1012" s="1500"/>
      <c r="P1012" s="1500"/>
      <c r="Q1012" s="1500"/>
      <c r="R1012" s="1500"/>
      <c r="S1012" s="1500"/>
      <c r="T1012" s="1500"/>
      <c r="U1012" s="1500"/>
      <c r="V1012" s="1500"/>
      <c r="W1012" s="1500"/>
      <c r="X1012" s="1500"/>
      <c r="Y1012" s="1500"/>
      <c r="Z1012" s="1500"/>
      <c r="AA1012" s="1500"/>
      <c r="AB1012" s="1500"/>
      <c r="AC1012" s="1500"/>
      <c r="AD1012" s="1500"/>
      <c r="AE1012" s="1501"/>
      <c r="AF1012" s="77"/>
      <c r="AG1012" s="7"/>
      <c r="AH1012" s="7"/>
      <c r="AI1012" s="78"/>
      <c r="AJ1012" s="1401"/>
      <c r="AK1012" s="1402"/>
      <c r="AL1012" s="1402"/>
      <c r="AM1012" s="1402"/>
      <c r="AN1012" s="1402"/>
      <c r="AO1012" s="1402"/>
      <c r="AP1012" s="1402"/>
      <c r="AQ1012" s="1403"/>
      <c r="AR1012" s="68"/>
      <c r="AS1012" s="68"/>
      <c r="AT1012" s="68"/>
      <c r="AU1012" s="68"/>
      <c r="AV1012" s="68"/>
      <c r="AW1012" s="68"/>
      <c r="AX1012" s="3" t="s">
        <v>1840</v>
      </c>
      <c r="AZ1012" s="3" t="s">
        <v>2607</v>
      </c>
    </row>
    <row r="1013" spans="1:52" ht="12.95" customHeight="1">
      <c r="A1013" s="14"/>
      <c r="B1013" s="79"/>
      <c r="C1013" s="80" t="s">
        <v>215</v>
      </c>
      <c r="D1013" s="1483" t="s">
        <v>1288</v>
      </c>
      <c r="E1013" s="1484"/>
      <c r="F1013" s="1484"/>
      <c r="G1013" s="1484"/>
      <c r="H1013" s="1484"/>
      <c r="I1013" s="1484"/>
      <c r="J1013" s="1484"/>
      <c r="K1013" s="1484"/>
      <c r="L1013" s="1484"/>
      <c r="M1013" s="1484"/>
      <c r="N1013" s="1484"/>
      <c r="O1013" s="1484"/>
      <c r="P1013" s="1484"/>
      <c r="Q1013" s="1484"/>
      <c r="R1013" s="1484"/>
      <c r="S1013" s="1484"/>
      <c r="T1013" s="1484"/>
      <c r="U1013" s="1484"/>
      <c r="V1013" s="1484"/>
      <c r="W1013" s="1484"/>
      <c r="X1013" s="1484"/>
      <c r="Y1013" s="1484"/>
      <c r="Z1013" s="1484"/>
      <c r="AA1013" s="1484"/>
      <c r="AB1013" s="1484"/>
      <c r="AC1013" s="1484"/>
      <c r="AD1013" s="1484"/>
      <c r="AE1013" s="1485"/>
      <c r="AF1013" s="79"/>
      <c r="AG1013" s="1491" t="s">
        <v>669</v>
      </c>
      <c r="AH1013" s="1492"/>
      <c r="AI1013" s="79"/>
      <c r="AJ1013" s="1395">
        <f>ROUND(IF(AG1013="yes",AJ992*0.02,0),0)</f>
        <v>0</v>
      </c>
      <c r="AK1013" s="1396"/>
      <c r="AL1013" s="1396"/>
      <c r="AM1013" s="1396"/>
      <c r="AN1013" s="1396"/>
      <c r="AO1013" s="1396"/>
      <c r="AP1013" s="1396"/>
      <c r="AQ1013" s="1397"/>
      <c r="AR1013" s="68"/>
      <c r="AS1013" s="68"/>
      <c r="AT1013" s="68"/>
      <c r="AU1013" s="68"/>
      <c r="AV1013" s="68"/>
      <c r="AW1013" s="68"/>
      <c r="AX1013" s="3">
        <v>1</v>
      </c>
      <c r="AY1013" s="200">
        <f>IF((_xlfn.XLOOKUP(AX1013,$C$1065:$C$1103,$A$1065:$A$1103,"",0,1))="Yes",AZ1013,0)</f>
        <v>0</v>
      </c>
      <c r="AZ1013" s="1254">
        <v>0.2</v>
      </c>
    </row>
    <row r="1014" spans="1:52" ht="12.95" customHeight="1">
      <c r="A1014" s="14"/>
      <c r="B1014" s="73"/>
      <c r="C1014" s="74"/>
      <c r="D1014" s="1496" t="s">
        <v>1289</v>
      </c>
      <c r="E1014" s="1497"/>
      <c r="F1014" s="1497"/>
      <c r="G1014" s="1497"/>
      <c r="H1014" s="1497"/>
      <c r="I1014" s="1497"/>
      <c r="J1014" s="1497"/>
      <c r="K1014" s="1497"/>
      <c r="L1014" s="1497"/>
      <c r="M1014" s="1497"/>
      <c r="N1014" s="1497"/>
      <c r="O1014" s="1497"/>
      <c r="P1014" s="1497"/>
      <c r="Q1014" s="1497"/>
      <c r="R1014" s="1497"/>
      <c r="S1014" s="1497"/>
      <c r="T1014" s="1497"/>
      <c r="U1014" s="1497"/>
      <c r="V1014" s="1497"/>
      <c r="W1014" s="1497"/>
      <c r="X1014" s="1497"/>
      <c r="Y1014" s="1497"/>
      <c r="Z1014" s="1497"/>
      <c r="AA1014" s="1497"/>
      <c r="AB1014" s="1497"/>
      <c r="AC1014" s="1497"/>
      <c r="AD1014" s="1497"/>
      <c r="AE1014" s="1498"/>
      <c r="AF1014" s="1558" t="str">
        <f>IF(AND(AG1013="yes",T212&lt;&gt;1),"The project may not be eligible for this boost","")</f>
        <v/>
      </c>
      <c r="AG1014" s="1559"/>
      <c r="AH1014" s="1559"/>
      <c r="AI1014" s="1560"/>
      <c r="AJ1014" s="1398"/>
      <c r="AK1014" s="1399"/>
      <c r="AL1014" s="1399"/>
      <c r="AM1014" s="1399"/>
      <c r="AN1014" s="1399"/>
      <c r="AO1014" s="1399"/>
      <c r="AP1014" s="1399"/>
      <c r="AQ1014" s="1400"/>
      <c r="AR1014" s="68"/>
      <c r="AS1014" s="68"/>
      <c r="AT1014" s="68"/>
      <c r="AU1014" s="68"/>
      <c r="AV1014" s="68"/>
      <c r="AW1014" s="68"/>
      <c r="AX1014" s="3">
        <v>2</v>
      </c>
      <c r="AY1014" s="200">
        <f t="shared" ref="AY1014:AY1023" si="53">IF((_xlfn.XLOOKUP(AX1014,$C$1065:$C$1103,$A$1065:$A$1103,"",0,1))="Yes",AZ1014,0)</f>
        <v>0</v>
      </c>
      <c r="AZ1014" s="1254">
        <v>0.15</v>
      </c>
    </row>
    <row r="1015" spans="1:52" ht="12.95" customHeight="1">
      <c r="A1015" s="14"/>
      <c r="B1015" s="75"/>
      <c r="C1015" s="76"/>
      <c r="D1015" s="1499"/>
      <c r="E1015" s="1500"/>
      <c r="F1015" s="1500"/>
      <c r="G1015" s="1500"/>
      <c r="H1015" s="1500"/>
      <c r="I1015" s="1500"/>
      <c r="J1015" s="1500"/>
      <c r="K1015" s="1500"/>
      <c r="L1015" s="1500"/>
      <c r="M1015" s="1500"/>
      <c r="N1015" s="1500"/>
      <c r="O1015" s="1500"/>
      <c r="P1015" s="1500"/>
      <c r="Q1015" s="1500"/>
      <c r="R1015" s="1500"/>
      <c r="S1015" s="1500"/>
      <c r="T1015" s="1500"/>
      <c r="U1015" s="1500"/>
      <c r="V1015" s="1500"/>
      <c r="W1015" s="1500"/>
      <c r="X1015" s="1500"/>
      <c r="Y1015" s="1500"/>
      <c r="Z1015" s="1500"/>
      <c r="AA1015" s="1500"/>
      <c r="AB1015" s="1500"/>
      <c r="AC1015" s="1500"/>
      <c r="AD1015" s="1500"/>
      <c r="AE1015" s="1501"/>
      <c r="AF1015" s="1561"/>
      <c r="AG1015" s="1562"/>
      <c r="AH1015" s="1562"/>
      <c r="AI1015" s="1563"/>
      <c r="AJ1015" s="1401"/>
      <c r="AK1015" s="1402"/>
      <c r="AL1015" s="1402"/>
      <c r="AM1015" s="1402"/>
      <c r="AN1015" s="1402"/>
      <c r="AO1015" s="1402"/>
      <c r="AP1015" s="1402"/>
      <c r="AQ1015" s="1403"/>
      <c r="AR1015" s="68"/>
      <c r="AS1015" s="68"/>
      <c r="AT1015" s="68"/>
      <c r="AU1015" s="68"/>
      <c r="AV1015" s="68"/>
      <c r="AW1015" s="68"/>
      <c r="AX1015" s="3">
        <v>3</v>
      </c>
      <c r="AY1015" s="200">
        <f t="shared" si="53"/>
        <v>0</v>
      </c>
      <c r="AZ1015" s="1254">
        <v>0.05</v>
      </c>
    </row>
    <row r="1016" spans="1:52" ht="12.95" customHeight="1">
      <c r="A1016" s="14"/>
      <c r="B1016" s="79"/>
      <c r="C1016" s="80" t="s">
        <v>218</v>
      </c>
      <c r="D1016" s="1493" t="s">
        <v>2236</v>
      </c>
      <c r="E1016" s="1494"/>
      <c r="F1016" s="1494"/>
      <c r="G1016" s="1494"/>
      <c r="H1016" s="1494"/>
      <c r="I1016" s="1494"/>
      <c r="J1016" s="1494"/>
      <c r="K1016" s="1494"/>
      <c r="L1016" s="1494"/>
      <c r="M1016" s="1494"/>
      <c r="N1016" s="1494"/>
      <c r="O1016" s="1494"/>
      <c r="P1016" s="1494"/>
      <c r="Q1016" s="1494"/>
      <c r="R1016" s="1494"/>
      <c r="S1016" s="1494"/>
      <c r="T1016" s="1494"/>
      <c r="U1016" s="1494"/>
      <c r="V1016" s="1494"/>
      <c r="W1016" s="1494"/>
      <c r="X1016" s="1494"/>
      <c r="Y1016" s="1494"/>
      <c r="Z1016" s="1494"/>
      <c r="AA1016" s="1494"/>
      <c r="AB1016" s="1494"/>
      <c r="AC1016" s="1494"/>
      <c r="AD1016" s="1494"/>
      <c r="AE1016" s="1495"/>
      <c r="AF1016" s="79"/>
      <c r="AG1016" s="1491" t="s">
        <v>669</v>
      </c>
      <c r="AH1016" s="1492"/>
      <c r="AI1016" s="87"/>
      <c r="AJ1016" s="1395">
        <f>IF(AG1016="yes",AJ992*AY1024,0)</f>
        <v>0</v>
      </c>
      <c r="AK1016" s="1396"/>
      <c r="AL1016" s="1396"/>
      <c r="AM1016" s="1396"/>
      <c r="AN1016" s="1396"/>
      <c r="AO1016" s="1396"/>
      <c r="AP1016" s="1396"/>
      <c r="AQ1016" s="1397"/>
      <c r="AR1016" s="68"/>
      <c r="AS1016" s="68"/>
      <c r="AT1016" s="68"/>
      <c r="AU1016" s="68"/>
      <c r="AV1016" s="68"/>
      <c r="AW1016" s="68"/>
      <c r="AX1016" s="3">
        <v>4</v>
      </c>
      <c r="AY1016" s="200">
        <f t="shared" si="53"/>
        <v>0</v>
      </c>
      <c r="AZ1016" s="1254">
        <v>0.02</v>
      </c>
    </row>
    <row r="1017" spans="1:52" ht="12.95" customHeight="1">
      <c r="A1017" s="14"/>
      <c r="B1017" s="73"/>
      <c r="C1017" s="74"/>
      <c r="D1017" s="1496" t="s">
        <v>1290</v>
      </c>
      <c r="E1017" s="1497"/>
      <c r="F1017" s="1497"/>
      <c r="G1017" s="1497"/>
      <c r="H1017" s="1497"/>
      <c r="I1017" s="1497"/>
      <c r="J1017" s="1497"/>
      <c r="K1017" s="1497"/>
      <c r="L1017" s="1497"/>
      <c r="M1017" s="1497"/>
      <c r="N1017" s="1497"/>
      <c r="O1017" s="1497"/>
      <c r="P1017" s="1497"/>
      <c r="Q1017" s="1497"/>
      <c r="R1017" s="1497"/>
      <c r="S1017" s="1497"/>
      <c r="T1017" s="1497"/>
      <c r="U1017" s="1497"/>
      <c r="V1017" s="1497"/>
      <c r="W1017" s="1497"/>
      <c r="X1017" s="1497"/>
      <c r="Y1017" s="1497"/>
      <c r="Z1017" s="1497"/>
      <c r="AA1017" s="1497"/>
      <c r="AB1017" s="1497"/>
      <c r="AC1017" s="1497"/>
      <c r="AD1017" s="1497"/>
      <c r="AE1017" s="1498"/>
      <c r="AF1017" s="1552" t="str">
        <f>IF(AND(AG1016="Yes",AY1024=0),AY1027,"")</f>
        <v/>
      </c>
      <c r="AG1017" s="1553"/>
      <c r="AH1017" s="1553"/>
      <c r="AI1017" s="1554"/>
      <c r="AJ1017" s="1398"/>
      <c r="AK1017" s="1399"/>
      <c r="AL1017" s="1399"/>
      <c r="AM1017" s="1399"/>
      <c r="AN1017" s="1399"/>
      <c r="AO1017" s="1399"/>
      <c r="AP1017" s="1399"/>
      <c r="AQ1017" s="1400"/>
      <c r="AR1017" s="68"/>
      <c r="AS1017" s="68"/>
      <c r="AT1017" s="68"/>
      <c r="AU1017" s="68"/>
      <c r="AV1017" s="68"/>
      <c r="AW1017" s="68"/>
      <c r="AX1017" s="3">
        <v>5</v>
      </c>
      <c r="AY1017" s="200">
        <f t="shared" si="53"/>
        <v>0</v>
      </c>
      <c r="AZ1017" s="1254">
        <v>0.04</v>
      </c>
    </row>
    <row r="1018" spans="1:52" ht="12.95" customHeight="1">
      <c r="A1018" s="14"/>
      <c r="B1018" s="73"/>
      <c r="C1018" s="74"/>
      <c r="D1018" s="1496"/>
      <c r="E1018" s="1497"/>
      <c r="F1018" s="1497"/>
      <c r="G1018" s="1497"/>
      <c r="H1018" s="1497"/>
      <c r="I1018" s="1497"/>
      <c r="J1018" s="1497"/>
      <c r="K1018" s="1497"/>
      <c r="L1018" s="1497"/>
      <c r="M1018" s="1497"/>
      <c r="N1018" s="1497"/>
      <c r="O1018" s="1497"/>
      <c r="P1018" s="1497"/>
      <c r="Q1018" s="1497"/>
      <c r="R1018" s="1497"/>
      <c r="S1018" s="1497"/>
      <c r="T1018" s="1497"/>
      <c r="U1018" s="1497"/>
      <c r="V1018" s="1497"/>
      <c r="W1018" s="1497"/>
      <c r="X1018" s="1497"/>
      <c r="Y1018" s="1497"/>
      <c r="Z1018" s="1497"/>
      <c r="AA1018" s="1497"/>
      <c r="AB1018" s="1497"/>
      <c r="AC1018" s="1497"/>
      <c r="AD1018" s="1497"/>
      <c r="AE1018" s="1498"/>
      <c r="AF1018" s="1552"/>
      <c r="AG1018" s="1553"/>
      <c r="AH1018" s="1553"/>
      <c r="AI1018" s="1554"/>
      <c r="AJ1018" s="1398"/>
      <c r="AK1018" s="1399"/>
      <c r="AL1018" s="1399"/>
      <c r="AM1018" s="1399"/>
      <c r="AN1018" s="1399"/>
      <c r="AO1018" s="1399"/>
      <c r="AP1018" s="1399"/>
      <c r="AQ1018" s="1400"/>
      <c r="AR1018" s="68"/>
      <c r="AS1018" s="68"/>
      <c r="AT1018" s="68"/>
      <c r="AU1018" s="68"/>
      <c r="AV1018" s="68"/>
      <c r="AW1018" s="68"/>
      <c r="AX1018" s="3">
        <v>6</v>
      </c>
      <c r="AY1018" s="200">
        <f t="shared" si="53"/>
        <v>0</v>
      </c>
      <c r="AZ1018" s="1254">
        <v>0.04</v>
      </c>
    </row>
    <row r="1019" spans="1:52" ht="12.95" customHeight="1">
      <c r="A1019" s="14"/>
      <c r="B1019" s="81"/>
      <c r="C1019" s="82"/>
      <c r="D1019" s="1499"/>
      <c r="E1019" s="1500"/>
      <c r="F1019" s="1500"/>
      <c r="G1019" s="1500"/>
      <c r="H1019" s="1500"/>
      <c r="I1019" s="1500"/>
      <c r="J1019" s="1500"/>
      <c r="K1019" s="1500"/>
      <c r="L1019" s="1500"/>
      <c r="M1019" s="1500"/>
      <c r="N1019" s="1500"/>
      <c r="O1019" s="1500"/>
      <c r="P1019" s="1500"/>
      <c r="Q1019" s="1500"/>
      <c r="R1019" s="1500"/>
      <c r="S1019" s="1500"/>
      <c r="T1019" s="1500"/>
      <c r="U1019" s="1500"/>
      <c r="V1019" s="1500"/>
      <c r="W1019" s="1500"/>
      <c r="X1019" s="1500"/>
      <c r="Y1019" s="1500"/>
      <c r="Z1019" s="1500"/>
      <c r="AA1019" s="1500"/>
      <c r="AB1019" s="1500"/>
      <c r="AC1019" s="1500"/>
      <c r="AD1019" s="1500"/>
      <c r="AE1019" s="1501"/>
      <c r="AF1019" s="1555"/>
      <c r="AG1019" s="1556"/>
      <c r="AH1019" s="1556"/>
      <c r="AI1019" s="1557"/>
      <c r="AJ1019" s="1401"/>
      <c r="AK1019" s="1402"/>
      <c r="AL1019" s="1402"/>
      <c r="AM1019" s="1402"/>
      <c r="AN1019" s="1402"/>
      <c r="AO1019" s="1402"/>
      <c r="AP1019" s="1402"/>
      <c r="AQ1019" s="1403"/>
      <c r="AR1019" s="68"/>
      <c r="AS1019" s="68"/>
      <c r="AT1019" s="68"/>
      <c r="AU1019" s="68"/>
      <c r="AV1019" s="68"/>
      <c r="AW1019" s="68"/>
      <c r="AX1019" s="3">
        <v>7</v>
      </c>
      <c r="AY1019" s="200">
        <f t="shared" si="53"/>
        <v>0</v>
      </c>
      <c r="AZ1019" s="1254">
        <v>0.01</v>
      </c>
    </row>
    <row r="1020" spans="1:52" ht="12.95" customHeight="1">
      <c r="A1020" s="14"/>
      <c r="B1020" s="79"/>
      <c r="C1020" s="80" t="s">
        <v>223</v>
      </c>
      <c r="D1020" s="1510" t="s">
        <v>1291</v>
      </c>
      <c r="E1020" s="1511"/>
      <c r="F1020" s="1511"/>
      <c r="G1020" s="1511"/>
      <c r="H1020" s="1511"/>
      <c r="I1020" s="1511"/>
      <c r="J1020" s="1511"/>
      <c r="K1020" s="1511"/>
      <c r="L1020" s="1511"/>
      <c r="M1020" s="1511"/>
      <c r="N1020" s="1511"/>
      <c r="O1020" s="1511"/>
      <c r="P1020" s="1511"/>
      <c r="Q1020" s="1511"/>
      <c r="R1020" s="1511"/>
      <c r="S1020" s="1511"/>
      <c r="T1020" s="1511"/>
      <c r="U1020" s="1511"/>
      <c r="V1020" s="1511"/>
      <c r="W1020" s="1511"/>
      <c r="X1020" s="1511"/>
      <c r="Y1020" s="1511"/>
      <c r="Z1020" s="1511"/>
      <c r="AA1020" s="1511"/>
      <c r="AB1020" s="1511"/>
      <c r="AC1020" s="1511"/>
      <c r="AD1020" s="1511"/>
      <c r="AE1020" s="1512"/>
      <c r="AF1020" s="79"/>
      <c r="AG1020" s="1491" t="s">
        <v>669</v>
      </c>
      <c r="AH1020" s="1492"/>
      <c r="AI1020" s="87"/>
      <c r="AJ1020" s="1395">
        <f>ROUND(IF(AND(AG1020="Yes",J1024&lt;&gt;"N/A",AF1023&lt;&gt;""),MIN(AF1023,(0.15*AJ992)),0),0)</f>
        <v>0</v>
      </c>
      <c r="AK1020" s="1396"/>
      <c r="AL1020" s="1396"/>
      <c r="AM1020" s="1396"/>
      <c r="AN1020" s="1396"/>
      <c r="AO1020" s="1396"/>
      <c r="AP1020" s="1396"/>
      <c r="AQ1020" s="1397"/>
      <c r="AR1020" s="68"/>
      <c r="AS1020" s="68"/>
      <c r="AT1020" s="68"/>
      <c r="AU1020" s="68"/>
      <c r="AV1020" s="68"/>
      <c r="AW1020" s="68"/>
      <c r="AX1020" s="3">
        <v>8</v>
      </c>
      <c r="AY1020" s="200">
        <f t="shared" si="53"/>
        <v>0</v>
      </c>
      <c r="AZ1020" s="1254">
        <v>0.01</v>
      </c>
    </row>
    <row r="1021" spans="1:52" ht="12.95" customHeight="1">
      <c r="A1021" s="14"/>
      <c r="B1021" s="81"/>
      <c r="C1021" s="84"/>
      <c r="D1021" s="1513"/>
      <c r="E1021" s="1514"/>
      <c r="F1021" s="1514"/>
      <c r="G1021" s="1514"/>
      <c r="H1021" s="1514"/>
      <c r="I1021" s="1514"/>
      <c r="J1021" s="1514"/>
      <c r="K1021" s="1514"/>
      <c r="L1021" s="1514"/>
      <c r="M1021" s="1514"/>
      <c r="N1021" s="1514"/>
      <c r="O1021" s="1514"/>
      <c r="P1021" s="1514"/>
      <c r="Q1021" s="1514"/>
      <c r="R1021" s="1514"/>
      <c r="S1021" s="1514"/>
      <c r="T1021" s="1514"/>
      <c r="U1021" s="1514"/>
      <c r="V1021" s="1514"/>
      <c r="W1021" s="1514"/>
      <c r="X1021" s="1514"/>
      <c r="Y1021" s="1514"/>
      <c r="Z1021" s="1514"/>
      <c r="AA1021" s="1514"/>
      <c r="AB1021" s="1514"/>
      <c r="AC1021" s="1514"/>
      <c r="AD1021" s="1514"/>
      <c r="AE1021" s="1515"/>
      <c r="AF1021" s="1502" t="str">
        <f>IF(AG1020="yes","Please Select Type and Enter Amount:","")</f>
        <v/>
      </c>
      <c r="AG1021" s="1503"/>
      <c r="AH1021" s="1503"/>
      <c r="AI1021" s="1504"/>
      <c r="AJ1021" s="1398"/>
      <c r="AK1021" s="1399"/>
      <c r="AL1021" s="1399"/>
      <c r="AM1021" s="1399"/>
      <c r="AN1021" s="1399"/>
      <c r="AO1021" s="1399"/>
      <c r="AP1021" s="1399"/>
      <c r="AQ1021" s="1400"/>
      <c r="AR1021" s="68"/>
      <c r="AS1021" s="68"/>
      <c r="AT1021" s="68"/>
      <c r="AU1021" s="68"/>
      <c r="AV1021" s="68"/>
      <c r="AW1021" s="68"/>
      <c r="AX1021" s="3">
        <v>9</v>
      </c>
      <c r="AY1021" s="200">
        <f t="shared" si="53"/>
        <v>0</v>
      </c>
      <c r="AZ1021" s="1254">
        <v>0.01</v>
      </c>
    </row>
    <row r="1022" spans="1:52" ht="12.95" customHeight="1">
      <c r="A1022" s="14"/>
      <c r="B1022" s="81"/>
      <c r="C1022" s="84"/>
      <c r="D1022" s="1496" t="s">
        <v>1292</v>
      </c>
      <c r="E1022" s="1497"/>
      <c r="F1022" s="1497"/>
      <c r="G1022" s="1497"/>
      <c r="H1022" s="1497"/>
      <c r="I1022" s="1497"/>
      <c r="J1022" s="1497"/>
      <c r="K1022" s="1497"/>
      <c r="L1022" s="1497"/>
      <c r="M1022" s="1497"/>
      <c r="N1022" s="1497"/>
      <c r="O1022" s="1497"/>
      <c r="P1022" s="1497"/>
      <c r="Q1022" s="1497"/>
      <c r="R1022" s="1497"/>
      <c r="S1022" s="1497"/>
      <c r="T1022" s="1497"/>
      <c r="U1022" s="1497"/>
      <c r="V1022" s="1497"/>
      <c r="W1022" s="1497"/>
      <c r="X1022" s="1497"/>
      <c r="Y1022" s="1497"/>
      <c r="Z1022" s="1497"/>
      <c r="AA1022" s="1497"/>
      <c r="AB1022" s="1497"/>
      <c r="AC1022" s="1497"/>
      <c r="AD1022" s="1497"/>
      <c r="AE1022" s="1498"/>
      <c r="AF1022" s="1502"/>
      <c r="AG1022" s="1503"/>
      <c r="AH1022" s="1503"/>
      <c r="AI1022" s="1504"/>
      <c r="AJ1022" s="1398"/>
      <c r="AK1022" s="1399"/>
      <c r="AL1022" s="1399"/>
      <c r="AM1022" s="1399"/>
      <c r="AN1022" s="1399"/>
      <c r="AO1022" s="1399"/>
      <c r="AP1022" s="1399"/>
      <c r="AQ1022" s="1400"/>
      <c r="AR1022" s="68"/>
      <c r="AS1022" s="68"/>
      <c r="AT1022" s="68"/>
      <c r="AU1022" s="68"/>
      <c r="AV1022" s="68"/>
      <c r="AW1022" s="68"/>
      <c r="AX1022" s="3">
        <v>10</v>
      </c>
      <c r="AY1022" s="200">
        <f t="shared" si="53"/>
        <v>0</v>
      </c>
      <c r="AZ1022" s="1254">
        <v>0.02</v>
      </c>
    </row>
    <row r="1023" spans="1:52" ht="12.95" customHeight="1">
      <c r="A1023" s="14"/>
      <c r="B1023" s="81"/>
      <c r="C1023" s="84"/>
      <c r="D1023" s="1496"/>
      <c r="E1023" s="1497"/>
      <c r="F1023" s="1497"/>
      <c r="G1023" s="1497"/>
      <c r="H1023" s="1497"/>
      <c r="I1023" s="1497"/>
      <c r="J1023" s="1497"/>
      <c r="K1023" s="1497"/>
      <c r="L1023" s="1497"/>
      <c r="M1023" s="1497"/>
      <c r="N1023" s="1497"/>
      <c r="O1023" s="1497"/>
      <c r="P1023" s="1497"/>
      <c r="Q1023" s="1497"/>
      <c r="R1023" s="1497"/>
      <c r="S1023" s="1497"/>
      <c r="T1023" s="1497"/>
      <c r="U1023" s="1497"/>
      <c r="V1023" s="1497"/>
      <c r="W1023" s="1497"/>
      <c r="X1023" s="1497"/>
      <c r="Y1023" s="1497"/>
      <c r="Z1023" s="1497"/>
      <c r="AA1023" s="1497"/>
      <c r="AB1023" s="1497"/>
      <c r="AC1023" s="1497"/>
      <c r="AD1023" s="1497"/>
      <c r="AE1023" s="1498"/>
      <c r="AF1023" s="1551"/>
      <c r="AG1023" s="1551"/>
      <c r="AH1023" s="1551"/>
      <c r="AI1023" s="1551"/>
      <c r="AJ1023" s="1398"/>
      <c r="AK1023" s="1399"/>
      <c r="AL1023" s="1399"/>
      <c r="AM1023" s="1399"/>
      <c r="AN1023" s="1399"/>
      <c r="AO1023" s="1399"/>
      <c r="AP1023" s="1399"/>
      <c r="AQ1023" s="1400"/>
      <c r="AR1023" s="68"/>
      <c r="AS1023" s="68"/>
      <c r="AT1023" s="68"/>
      <c r="AU1023" s="68"/>
      <c r="AV1023" s="68"/>
      <c r="AW1023" s="68"/>
      <c r="AX1023" s="3">
        <v>11</v>
      </c>
      <c r="AY1023" s="200">
        <f t="shared" si="53"/>
        <v>0</v>
      </c>
      <c r="AZ1023" s="1254">
        <v>0.02</v>
      </c>
    </row>
    <row r="1024" spans="1:52" ht="12.95" customHeight="1">
      <c r="A1024" s="14"/>
      <c r="B1024" s="81"/>
      <c r="C1024" s="84"/>
      <c r="D1024" s="526" t="s">
        <v>359</v>
      </c>
      <c r="E1024" s="90"/>
      <c r="F1024" s="90"/>
      <c r="G1024" s="104"/>
      <c r="H1024" s="104"/>
      <c r="I1024" s="49"/>
      <c r="J1024" s="1474" t="s">
        <v>591</v>
      </c>
      <c r="K1024" s="1475"/>
      <c r="L1024" s="1475"/>
      <c r="M1024" s="1475"/>
      <c r="N1024" s="1475"/>
      <c r="O1024" s="1475"/>
      <c r="P1024" s="1475"/>
      <c r="Q1024" s="1475"/>
      <c r="R1024" s="1475"/>
      <c r="S1024" s="1475"/>
      <c r="T1024" s="1475"/>
      <c r="U1024" s="1475"/>
      <c r="V1024" s="1475"/>
      <c r="W1024" s="1475"/>
      <c r="X1024" s="1475"/>
      <c r="Y1024" s="1475"/>
      <c r="Z1024" s="1475"/>
      <c r="AA1024" s="1475"/>
      <c r="AB1024" s="1475"/>
      <c r="AC1024" s="1475"/>
      <c r="AD1024" s="1475"/>
      <c r="AE1024" s="1476"/>
      <c r="AF1024" s="1551"/>
      <c r="AG1024" s="1551"/>
      <c r="AH1024" s="1551"/>
      <c r="AI1024" s="1551"/>
      <c r="AJ1024" s="1401"/>
      <c r="AK1024" s="1402"/>
      <c r="AL1024" s="1402"/>
      <c r="AM1024" s="1402"/>
      <c r="AN1024" s="1402"/>
      <c r="AO1024" s="1402"/>
      <c r="AP1024" s="1402"/>
      <c r="AQ1024" s="1403"/>
      <c r="AR1024" s="68"/>
      <c r="AS1024" s="68"/>
      <c r="AT1024" s="68"/>
      <c r="AU1024" s="68"/>
      <c r="AV1024" s="68"/>
      <c r="AW1024" s="68"/>
      <c r="AX1024" s="1031" t="s">
        <v>2606</v>
      </c>
      <c r="AY1024" s="201">
        <f>IF(SUM(AY1015:AY1023)&lt;=0.2,SUM(AY1015:AY1023),0.2)</f>
        <v>0</v>
      </c>
    </row>
    <row r="1025" spans="1:57" ht="12.95" customHeight="1">
      <c r="A1025" s="14"/>
      <c r="B1025" s="79"/>
      <c r="C1025" s="80" t="s">
        <v>229</v>
      </c>
      <c r="D1025" s="1483" t="s">
        <v>1293</v>
      </c>
      <c r="E1025" s="1484"/>
      <c r="F1025" s="1484"/>
      <c r="G1025" s="1484"/>
      <c r="H1025" s="1484"/>
      <c r="I1025" s="1484"/>
      <c r="J1025" s="1484"/>
      <c r="K1025" s="1484"/>
      <c r="L1025" s="1484"/>
      <c r="M1025" s="1484"/>
      <c r="N1025" s="1484"/>
      <c r="O1025" s="1484"/>
      <c r="P1025" s="1484"/>
      <c r="Q1025" s="1484"/>
      <c r="R1025" s="1484"/>
      <c r="S1025" s="1484"/>
      <c r="T1025" s="1484"/>
      <c r="U1025" s="1484"/>
      <c r="V1025" s="1484"/>
      <c r="W1025" s="1484"/>
      <c r="X1025" s="1484"/>
      <c r="Y1025" s="1484"/>
      <c r="Z1025" s="1484"/>
      <c r="AA1025" s="1484"/>
      <c r="AB1025" s="1484"/>
      <c r="AC1025" s="1484"/>
      <c r="AD1025" s="1484"/>
      <c r="AE1025" s="1485"/>
      <c r="AF1025" s="79"/>
      <c r="AG1025" s="1491" t="s">
        <v>669</v>
      </c>
      <c r="AH1025" s="1492"/>
      <c r="AI1025" s="87"/>
      <c r="AJ1025" s="1395">
        <f>ROUND(IF(AG1025="Yes",AF1027,0),0)</f>
        <v>0</v>
      </c>
      <c r="AK1025" s="1396"/>
      <c r="AL1025" s="1396"/>
      <c r="AM1025" s="1396"/>
      <c r="AN1025" s="1396"/>
      <c r="AO1025" s="1396"/>
      <c r="AP1025" s="1396"/>
      <c r="AQ1025" s="1397"/>
      <c r="AR1025" s="68"/>
      <c r="AS1025" s="68"/>
      <c r="AT1025" s="68"/>
      <c r="AU1025" s="68"/>
      <c r="AV1025" s="68"/>
      <c r="AW1025" s="68"/>
      <c r="AX1025" s="68"/>
      <c r="AY1025" s="68"/>
    </row>
    <row r="1026" spans="1:57" ht="12.95" customHeight="1">
      <c r="A1026" s="14"/>
      <c r="B1026" s="73"/>
      <c r="C1026" s="74"/>
      <c r="D1026" s="1496" t="s">
        <v>1689</v>
      </c>
      <c r="E1026" s="1497"/>
      <c r="F1026" s="1497"/>
      <c r="G1026" s="1497"/>
      <c r="H1026" s="1497"/>
      <c r="I1026" s="1497"/>
      <c r="J1026" s="1497"/>
      <c r="K1026" s="1497"/>
      <c r="L1026" s="1497"/>
      <c r="M1026" s="1497"/>
      <c r="N1026" s="1497"/>
      <c r="O1026" s="1497"/>
      <c r="P1026" s="1497"/>
      <c r="Q1026" s="1497"/>
      <c r="R1026" s="1497"/>
      <c r="S1026" s="1497"/>
      <c r="T1026" s="1497"/>
      <c r="U1026" s="1497"/>
      <c r="V1026" s="1497"/>
      <c r="W1026" s="1497"/>
      <c r="X1026" s="1497"/>
      <c r="Y1026" s="1497"/>
      <c r="Z1026" s="1497"/>
      <c r="AA1026" s="1497"/>
      <c r="AB1026" s="1497"/>
      <c r="AC1026" s="1497"/>
      <c r="AD1026" s="1497"/>
      <c r="AE1026" s="1498"/>
      <c r="AF1026" s="1516" t="str">
        <f>IF(AG1025="yes","Enter Amount:","")</f>
        <v/>
      </c>
      <c r="AG1026" s="1517"/>
      <c r="AH1026" s="1517"/>
      <c r="AI1026" s="1518"/>
      <c r="AJ1026" s="1398"/>
      <c r="AK1026" s="1399"/>
      <c r="AL1026" s="1399"/>
      <c r="AM1026" s="1399"/>
      <c r="AN1026" s="1399"/>
      <c r="AO1026" s="1399"/>
      <c r="AP1026" s="1399"/>
      <c r="AQ1026" s="1400"/>
      <c r="AR1026" s="68"/>
      <c r="AS1026" s="68"/>
      <c r="AT1026" s="68"/>
      <c r="AU1026" s="68"/>
      <c r="AV1026" s="68"/>
      <c r="AW1026" s="68"/>
      <c r="AX1026" s="68"/>
      <c r="AY1026" s="68"/>
    </row>
    <row r="1027" spans="1:57" ht="12.95" customHeight="1">
      <c r="A1027" s="14"/>
      <c r="B1027" s="73"/>
      <c r="C1027" s="74"/>
      <c r="D1027" s="1496"/>
      <c r="E1027" s="1497"/>
      <c r="F1027" s="1497"/>
      <c r="G1027" s="1497"/>
      <c r="H1027" s="1497"/>
      <c r="I1027" s="1497"/>
      <c r="J1027" s="1497"/>
      <c r="K1027" s="1497"/>
      <c r="L1027" s="1497"/>
      <c r="M1027" s="1497"/>
      <c r="N1027" s="1497"/>
      <c r="O1027" s="1497"/>
      <c r="P1027" s="1497"/>
      <c r="Q1027" s="1497"/>
      <c r="R1027" s="1497"/>
      <c r="S1027" s="1497"/>
      <c r="T1027" s="1497"/>
      <c r="U1027" s="1497"/>
      <c r="V1027" s="1497"/>
      <c r="W1027" s="1497"/>
      <c r="X1027" s="1497"/>
      <c r="Y1027" s="1497"/>
      <c r="Z1027" s="1497"/>
      <c r="AA1027" s="1497"/>
      <c r="AB1027" s="1497"/>
      <c r="AC1027" s="1497"/>
      <c r="AD1027" s="1497"/>
      <c r="AE1027" s="1498"/>
      <c r="AF1027" s="1551"/>
      <c r="AG1027" s="1551"/>
      <c r="AH1027" s="1551"/>
      <c r="AI1027" s="1551"/>
      <c r="AJ1027" s="1398"/>
      <c r="AK1027" s="1399"/>
      <c r="AL1027" s="1399"/>
      <c r="AM1027" s="1399"/>
      <c r="AN1027" s="1399"/>
      <c r="AO1027" s="1399"/>
      <c r="AP1027" s="1399"/>
      <c r="AQ1027" s="1400"/>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499"/>
      <c r="E1028" s="1500"/>
      <c r="F1028" s="1500"/>
      <c r="G1028" s="1500"/>
      <c r="H1028" s="1500"/>
      <c r="I1028" s="1500"/>
      <c r="J1028" s="1500"/>
      <c r="K1028" s="1500"/>
      <c r="L1028" s="1500"/>
      <c r="M1028" s="1500"/>
      <c r="N1028" s="1500"/>
      <c r="O1028" s="1500"/>
      <c r="P1028" s="1500"/>
      <c r="Q1028" s="1500"/>
      <c r="R1028" s="1500"/>
      <c r="S1028" s="1500"/>
      <c r="T1028" s="1500"/>
      <c r="U1028" s="1500"/>
      <c r="V1028" s="1500"/>
      <c r="W1028" s="1500"/>
      <c r="X1028" s="1500"/>
      <c r="Y1028" s="1500"/>
      <c r="Z1028" s="1500"/>
      <c r="AA1028" s="1500"/>
      <c r="AB1028" s="1500"/>
      <c r="AC1028" s="1500"/>
      <c r="AD1028" s="1500"/>
      <c r="AE1028" s="1501"/>
      <c r="AF1028" s="1551"/>
      <c r="AG1028" s="1551"/>
      <c r="AH1028" s="1551"/>
      <c r="AI1028" s="1551"/>
      <c r="AJ1028" s="1401"/>
      <c r="AK1028" s="1402"/>
      <c r="AL1028" s="1402"/>
      <c r="AM1028" s="1402"/>
      <c r="AN1028" s="1402"/>
      <c r="AO1028" s="1402"/>
      <c r="AP1028" s="1402"/>
      <c r="AQ1028" s="1403"/>
      <c r="AR1028" s="68"/>
      <c r="AS1028" s="68"/>
      <c r="AT1028" s="68"/>
      <c r="AU1028" s="68"/>
      <c r="AV1028" s="68"/>
      <c r="AW1028" s="68"/>
      <c r="AX1028" s="68"/>
      <c r="AY1028" s="68"/>
    </row>
    <row r="1029" spans="1:57" ht="12.95" customHeight="1">
      <c r="A1029" s="14"/>
      <c r="B1029" s="79"/>
      <c r="C1029" s="80" t="s">
        <v>234</v>
      </c>
      <c r="D1029" s="1493" t="s">
        <v>1294</v>
      </c>
      <c r="E1029" s="1494"/>
      <c r="F1029" s="1494"/>
      <c r="G1029" s="1494"/>
      <c r="H1029" s="1494"/>
      <c r="I1029" s="1494"/>
      <c r="J1029" s="1494"/>
      <c r="K1029" s="1494"/>
      <c r="L1029" s="1494"/>
      <c r="M1029" s="1494"/>
      <c r="N1029" s="1494"/>
      <c r="O1029" s="1494"/>
      <c r="P1029" s="1494"/>
      <c r="Q1029" s="1494"/>
      <c r="R1029" s="1494"/>
      <c r="S1029" s="1494"/>
      <c r="T1029" s="1494"/>
      <c r="U1029" s="1494"/>
      <c r="V1029" s="1494"/>
      <c r="W1029" s="1494"/>
      <c r="X1029" s="1494"/>
      <c r="Y1029" s="1494"/>
      <c r="Z1029" s="1494"/>
      <c r="AA1029" s="1494"/>
      <c r="AB1029" s="1494"/>
      <c r="AC1029" s="1494"/>
      <c r="AD1029" s="1494"/>
      <c r="AE1029" s="1495"/>
      <c r="AF1029" s="79"/>
      <c r="AG1029" s="1491" t="s">
        <v>545</v>
      </c>
      <c r="AH1029" s="1492"/>
      <c r="AI1029" s="87"/>
      <c r="AJ1029" s="1395">
        <f>ROUND(IF(AG1029="yes",(AJ992*0.1),0),0)</f>
        <v>20247768</v>
      </c>
      <c r="AK1029" s="1396"/>
      <c r="AL1029" s="1396"/>
      <c r="AM1029" s="1396"/>
      <c r="AN1029" s="1396"/>
      <c r="AO1029" s="1396"/>
      <c r="AP1029" s="1396"/>
      <c r="AQ1029" s="1397"/>
      <c r="AR1029" s="68"/>
      <c r="AS1029" s="68"/>
      <c r="AT1029" s="68"/>
      <c r="AU1029" s="68"/>
      <c r="AV1029" s="68"/>
      <c r="AW1029" s="68"/>
      <c r="AX1029" s="68"/>
      <c r="AY1029" s="68"/>
    </row>
    <row r="1030" spans="1:57" ht="12.95" customHeight="1">
      <c r="A1030" s="14"/>
      <c r="B1030" s="73"/>
      <c r="C1030" s="74"/>
      <c r="D1030" s="1496" t="s">
        <v>1295</v>
      </c>
      <c r="E1030" s="1497"/>
      <c r="F1030" s="1497"/>
      <c r="G1030" s="1497"/>
      <c r="H1030" s="1497"/>
      <c r="I1030" s="1497"/>
      <c r="J1030" s="1497"/>
      <c r="K1030" s="1497"/>
      <c r="L1030" s="1497"/>
      <c r="M1030" s="1497"/>
      <c r="N1030" s="1497"/>
      <c r="O1030" s="1497"/>
      <c r="P1030" s="1497"/>
      <c r="Q1030" s="1497"/>
      <c r="R1030" s="1497"/>
      <c r="S1030" s="1497"/>
      <c r="T1030" s="1497"/>
      <c r="U1030" s="1497"/>
      <c r="V1030" s="1497"/>
      <c r="W1030" s="1497"/>
      <c r="X1030" s="1497"/>
      <c r="Y1030" s="1497"/>
      <c r="Z1030" s="1497"/>
      <c r="AA1030" s="1497"/>
      <c r="AB1030" s="1497"/>
      <c r="AC1030" s="1497"/>
      <c r="AD1030" s="1497"/>
      <c r="AE1030" s="1498"/>
      <c r="AF1030" s="73"/>
      <c r="AG1030" s="14"/>
      <c r="AH1030" s="14"/>
      <c r="AI1030" s="83"/>
      <c r="AJ1030" s="1398"/>
      <c r="AK1030" s="1399"/>
      <c r="AL1030" s="1399"/>
      <c r="AM1030" s="1399"/>
      <c r="AN1030" s="1399"/>
      <c r="AO1030" s="1399"/>
      <c r="AP1030" s="1399"/>
      <c r="AQ1030" s="1400"/>
      <c r="AR1030" s="68"/>
      <c r="AS1030" s="68"/>
      <c r="AT1030" s="68"/>
      <c r="AU1030" s="68"/>
      <c r="AV1030" s="68"/>
      <c r="AW1030" s="68"/>
      <c r="AX1030" s="68"/>
      <c r="AY1030" s="68"/>
    </row>
    <row r="1031" spans="1:57" ht="12.95" customHeight="1">
      <c r="A1031" s="14"/>
      <c r="B1031" s="77"/>
      <c r="C1031" s="74"/>
      <c r="D1031" s="1499"/>
      <c r="E1031" s="1500"/>
      <c r="F1031" s="1500"/>
      <c r="G1031" s="1500"/>
      <c r="H1031" s="1500"/>
      <c r="I1031" s="1500"/>
      <c r="J1031" s="1500"/>
      <c r="K1031" s="1500"/>
      <c r="L1031" s="1500"/>
      <c r="M1031" s="1500"/>
      <c r="N1031" s="1500"/>
      <c r="O1031" s="1500"/>
      <c r="P1031" s="1500"/>
      <c r="Q1031" s="1500"/>
      <c r="R1031" s="1500"/>
      <c r="S1031" s="1500"/>
      <c r="T1031" s="1500"/>
      <c r="U1031" s="1500"/>
      <c r="V1031" s="1500"/>
      <c r="W1031" s="1500"/>
      <c r="X1031" s="1500"/>
      <c r="Y1031" s="1500"/>
      <c r="Z1031" s="1500"/>
      <c r="AA1031" s="1500"/>
      <c r="AB1031" s="1500"/>
      <c r="AC1031" s="1500"/>
      <c r="AD1031" s="1500"/>
      <c r="AE1031" s="1501"/>
      <c r="AF1031" s="73"/>
      <c r="AG1031" s="14"/>
      <c r="AH1031" s="14"/>
      <c r="AI1031" s="83"/>
      <c r="AJ1031" s="1401"/>
      <c r="AK1031" s="1402"/>
      <c r="AL1031" s="1402"/>
      <c r="AM1031" s="1402"/>
      <c r="AN1031" s="1402"/>
      <c r="AO1031" s="1402"/>
      <c r="AP1031" s="1402"/>
      <c r="AQ1031" s="1403"/>
      <c r="AR1031" s="68"/>
      <c r="AS1031" s="68"/>
      <c r="AT1031" s="68"/>
      <c r="AU1031" s="68"/>
      <c r="AV1031" s="68"/>
      <c r="AW1031" s="68"/>
      <c r="AX1031" s="68"/>
      <c r="AY1031" s="68"/>
    </row>
    <row r="1032" spans="1:57" ht="12.95" customHeight="1">
      <c r="A1032" s="14"/>
      <c r="B1032" s="73"/>
      <c r="C1032" s="339" t="s">
        <v>687</v>
      </c>
      <c r="D1032" s="1483" t="s">
        <v>1685</v>
      </c>
      <c r="E1032" s="1484"/>
      <c r="F1032" s="1484"/>
      <c r="G1032" s="1484"/>
      <c r="H1032" s="1484"/>
      <c r="I1032" s="1484"/>
      <c r="J1032" s="1484"/>
      <c r="K1032" s="1484"/>
      <c r="L1032" s="1484"/>
      <c r="M1032" s="1484"/>
      <c r="N1032" s="1484"/>
      <c r="O1032" s="1484"/>
      <c r="P1032" s="1484"/>
      <c r="Q1032" s="1484"/>
      <c r="R1032" s="1484"/>
      <c r="S1032" s="1484"/>
      <c r="T1032" s="1484"/>
      <c r="U1032" s="1484"/>
      <c r="V1032" s="1484"/>
      <c r="W1032" s="1484"/>
      <c r="X1032" s="1484"/>
      <c r="Y1032" s="1484"/>
      <c r="Z1032" s="1484"/>
      <c r="AA1032" s="1484"/>
      <c r="AB1032" s="1484"/>
      <c r="AC1032" s="1484"/>
      <c r="AD1032" s="1484"/>
      <c r="AE1032" s="1485"/>
      <c r="AF1032" s="79"/>
      <c r="AG1032" s="1491" t="s">
        <v>669</v>
      </c>
      <c r="AH1032" s="1492"/>
      <c r="AI1032" s="87"/>
      <c r="AJ1032" s="1395">
        <f>ROUND(IF(AG1032="yes",(AJ992*0.15),0),0)</f>
        <v>0</v>
      </c>
      <c r="AK1032" s="1396"/>
      <c r="AL1032" s="1396"/>
      <c r="AM1032" s="1396"/>
      <c r="AN1032" s="1396"/>
      <c r="AO1032" s="1396"/>
      <c r="AP1032" s="1396"/>
      <c r="AQ1032" s="1397"/>
      <c r="AR1032" s="68"/>
      <c r="AS1032" s="68"/>
      <c r="AT1032" s="68"/>
      <c r="AU1032" s="68"/>
      <c r="AV1032" s="68"/>
      <c r="AW1032" s="68"/>
      <c r="AX1032" s="68"/>
      <c r="AY1032" s="68"/>
    </row>
    <row r="1033" spans="1:57" ht="12.95" customHeight="1">
      <c r="A1033" s="14"/>
      <c r="B1033" s="73"/>
      <c r="C1033" s="74"/>
      <c r="D1033" s="1505" t="s">
        <v>1686</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506"/>
      <c r="AF1033" s="914"/>
      <c r="AG1033" s="915"/>
      <c r="AH1033" s="915"/>
      <c r="AI1033" s="916"/>
      <c r="AJ1033" s="1398"/>
      <c r="AK1033" s="1399"/>
      <c r="AL1033" s="1399"/>
      <c r="AM1033" s="1399"/>
      <c r="AN1033" s="1399"/>
      <c r="AO1033" s="1399"/>
      <c r="AP1033" s="1399"/>
      <c r="AQ1033" s="1400"/>
      <c r="AR1033" s="68"/>
      <c r="AS1033" s="68"/>
      <c r="AT1033" s="68"/>
      <c r="AU1033" s="68"/>
      <c r="AV1033" s="68"/>
      <c r="AW1033" s="68"/>
      <c r="AX1033" s="68"/>
      <c r="AY1033" s="68"/>
    </row>
    <row r="1034" spans="1:57" ht="12.95" customHeight="1">
      <c r="A1034" s="14"/>
      <c r="B1034" s="73"/>
      <c r="C1034" s="74"/>
      <c r="D1034" s="1505"/>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506"/>
      <c r="AF1034" s="914"/>
      <c r="AG1034" s="915"/>
      <c r="AH1034" s="915"/>
      <c r="AI1034" s="916"/>
      <c r="AJ1034" s="1398"/>
      <c r="AK1034" s="1399"/>
      <c r="AL1034" s="1399"/>
      <c r="AM1034" s="1399"/>
      <c r="AN1034" s="1399"/>
      <c r="AO1034" s="1399"/>
      <c r="AP1034" s="1399"/>
      <c r="AQ1034" s="1400"/>
      <c r="AR1034" s="68"/>
      <c r="AS1034" s="68"/>
      <c r="AT1034" s="68"/>
      <c r="AU1034" s="68"/>
      <c r="AV1034" s="68"/>
      <c r="AW1034" s="68"/>
      <c r="AX1034" s="68"/>
      <c r="AY1034" s="68"/>
    </row>
    <row r="1035" spans="1:57" ht="12.95" customHeight="1">
      <c r="A1035" s="14"/>
      <c r="B1035" s="73"/>
      <c r="C1035" s="74"/>
      <c r="D1035" s="1507"/>
      <c r="E1035" s="1508"/>
      <c r="F1035" s="1508"/>
      <c r="G1035" s="1508"/>
      <c r="H1035" s="1508"/>
      <c r="I1035" s="1508"/>
      <c r="J1035" s="1508"/>
      <c r="K1035" s="1508"/>
      <c r="L1035" s="1508"/>
      <c r="M1035" s="1508"/>
      <c r="N1035" s="1508"/>
      <c r="O1035" s="1508"/>
      <c r="P1035" s="1508"/>
      <c r="Q1035" s="1508"/>
      <c r="R1035" s="1508"/>
      <c r="S1035" s="1508"/>
      <c r="T1035" s="1508"/>
      <c r="U1035" s="1508"/>
      <c r="V1035" s="1508"/>
      <c r="W1035" s="1508"/>
      <c r="X1035" s="1508"/>
      <c r="Y1035" s="1508"/>
      <c r="Z1035" s="1508"/>
      <c r="AA1035" s="1508"/>
      <c r="AB1035" s="1508"/>
      <c r="AC1035" s="1508"/>
      <c r="AD1035" s="1508"/>
      <c r="AE1035" s="1509"/>
      <c r="AF1035" s="917"/>
      <c r="AG1035" s="918"/>
      <c r="AH1035" s="918"/>
      <c r="AI1035" s="919"/>
      <c r="AJ1035" s="1401"/>
      <c r="AK1035" s="1402"/>
      <c r="AL1035" s="1402"/>
      <c r="AM1035" s="1402"/>
      <c r="AN1035" s="1402"/>
      <c r="AO1035" s="1402"/>
      <c r="AP1035" s="1402"/>
      <c r="AQ1035" s="1403"/>
      <c r="AR1035" s="68"/>
      <c r="AS1035" s="68"/>
      <c r="AT1035" s="68"/>
      <c r="AU1035" s="68"/>
      <c r="AV1035" s="68"/>
      <c r="AW1035" s="68"/>
      <c r="AX1035" s="68"/>
      <c r="AY1035" s="68"/>
    </row>
    <row r="1036" spans="1:57" ht="12.95" customHeight="1">
      <c r="A1036" s="14"/>
      <c r="B1036" s="73"/>
      <c r="C1036" s="339" t="s">
        <v>687</v>
      </c>
      <c r="D1036" s="1493" t="s">
        <v>1687</v>
      </c>
      <c r="E1036" s="1494"/>
      <c r="F1036" s="1494"/>
      <c r="G1036" s="1494"/>
      <c r="H1036" s="1494"/>
      <c r="I1036" s="1494"/>
      <c r="J1036" s="1494"/>
      <c r="K1036" s="1494"/>
      <c r="L1036" s="1494"/>
      <c r="M1036" s="1494"/>
      <c r="N1036" s="1494"/>
      <c r="O1036" s="1494"/>
      <c r="P1036" s="1494"/>
      <c r="Q1036" s="1494"/>
      <c r="R1036" s="1494"/>
      <c r="S1036" s="1494"/>
      <c r="T1036" s="1494"/>
      <c r="U1036" s="1494"/>
      <c r="V1036" s="1494"/>
      <c r="W1036" s="1494"/>
      <c r="X1036" s="1494"/>
      <c r="Y1036" s="1494"/>
      <c r="Z1036" s="1494"/>
      <c r="AA1036" s="1494"/>
      <c r="AB1036" s="1494"/>
      <c r="AC1036" s="1494"/>
      <c r="AD1036" s="1494"/>
      <c r="AE1036" s="1495"/>
      <c r="AF1036" s="73"/>
      <c r="AG1036" s="1549" t="s">
        <v>545</v>
      </c>
      <c r="AH1036" s="1550"/>
      <c r="AI1036" s="83"/>
      <c r="AJ1036" s="1395">
        <f>ROUND(IF(AND(AG1036="yes",AJ1032=0),(AJ992*0.1),0),0)</f>
        <v>20247768</v>
      </c>
      <c r="AK1036" s="1396"/>
      <c r="AL1036" s="1396"/>
      <c r="AM1036" s="1396"/>
      <c r="AN1036" s="1396"/>
      <c r="AO1036" s="1396"/>
      <c r="AP1036" s="1396"/>
      <c r="AQ1036" s="1397"/>
      <c r="AR1036" s="68"/>
      <c r="AS1036" s="68"/>
      <c r="AT1036" s="68"/>
      <c r="AU1036" s="68"/>
      <c r="AV1036" s="68"/>
      <c r="AW1036" s="68"/>
      <c r="AX1036" s="68"/>
      <c r="AY1036" s="68"/>
    </row>
    <row r="1037" spans="1:57" ht="12.95" customHeight="1">
      <c r="A1037" s="14"/>
      <c r="B1037" s="73"/>
      <c r="C1037" s="74"/>
      <c r="D1037" s="1505" t="s">
        <v>1688</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506"/>
      <c r="AF1037" s="73"/>
      <c r="AG1037" s="14"/>
      <c r="AH1037" s="14"/>
      <c r="AI1037" s="83"/>
      <c r="AJ1037" s="1398"/>
      <c r="AK1037" s="1399"/>
      <c r="AL1037" s="1399"/>
      <c r="AM1037" s="1399"/>
      <c r="AN1037" s="1399"/>
      <c r="AO1037" s="1399"/>
      <c r="AP1037" s="1399"/>
      <c r="AQ1037" s="1400"/>
      <c r="AR1037" s="68"/>
      <c r="AS1037" s="68"/>
      <c r="AT1037" s="68"/>
      <c r="AU1037" s="68"/>
      <c r="AV1037" s="68"/>
      <c r="AW1037" s="68"/>
      <c r="AX1037" s="68"/>
      <c r="AY1037" s="68"/>
    </row>
    <row r="1038" spans="1:57" ht="12.95" customHeight="1">
      <c r="A1038" s="14"/>
      <c r="B1038" s="73"/>
      <c r="C1038" s="74"/>
      <c r="D1038" s="1505"/>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506"/>
      <c r="AF1038" s="73"/>
      <c r="AG1038" s="14"/>
      <c r="AH1038" s="14"/>
      <c r="AI1038" s="83"/>
      <c r="AJ1038" s="1398"/>
      <c r="AK1038" s="1399"/>
      <c r="AL1038" s="1399"/>
      <c r="AM1038" s="1399"/>
      <c r="AN1038" s="1399"/>
      <c r="AO1038" s="1399"/>
      <c r="AP1038" s="1399"/>
      <c r="AQ1038" s="1400"/>
      <c r="AR1038" s="68"/>
      <c r="AS1038" s="68"/>
      <c r="AT1038" s="68"/>
      <c r="AU1038" s="68"/>
      <c r="AV1038" s="68"/>
      <c r="AW1038" s="68"/>
      <c r="AX1038" s="68"/>
      <c r="AY1038" s="68"/>
      <c r="BA1038" s="1182">
        <f>IFERROR(('Sources and Uses Budget'!$C$17+'Sources and Uses Budget'!$C$18+'Sources and Uses Budget'!$C$22)/$AG$437,0)</f>
        <v>0</v>
      </c>
      <c r="BB1038" s="1182" t="s">
        <v>2489</v>
      </c>
      <c r="BC1038" s="1182"/>
      <c r="BD1038" s="1182"/>
      <c r="BE1038" s="1182"/>
    </row>
    <row r="1039" spans="1:57" ht="12.95" customHeight="1">
      <c r="A1039" s="14"/>
      <c r="B1039" s="73"/>
      <c r="C1039" s="74"/>
      <c r="D1039" s="1505"/>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506"/>
      <c r="AF1039" s="73"/>
      <c r="AG1039" s="14"/>
      <c r="AH1039" s="14"/>
      <c r="AI1039" s="83"/>
      <c r="AJ1039" s="1398"/>
      <c r="AK1039" s="1399"/>
      <c r="AL1039" s="1399"/>
      <c r="AM1039" s="1399"/>
      <c r="AN1039" s="1399"/>
      <c r="AO1039" s="1399"/>
      <c r="AP1039" s="1399"/>
      <c r="AQ1039" s="1400"/>
      <c r="AR1039" s="68"/>
      <c r="AS1039" s="68"/>
      <c r="AT1039" s="68"/>
      <c r="AU1039" s="68"/>
      <c r="AV1039" s="68"/>
      <c r="AW1039" s="68"/>
      <c r="AX1039" s="68"/>
      <c r="AY1039" s="68"/>
      <c r="BA1039">
        <f>IFERROR((($CI$753+$CM$753)/$AG$440),0)</f>
        <v>0.20204603580562661</v>
      </c>
      <c r="BB1039" s="3" t="s">
        <v>2493</v>
      </c>
    </row>
    <row r="1040" spans="1:57" ht="12.95" customHeight="1">
      <c r="A1040" s="14"/>
      <c r="B1040" s="73"/>
      <c r="C1040" s="74"/>
      <c r="D1040" s="1507"/>
      <c r="E1040" s="1508"/>
      <c r="F1040" s="1508"/>
      <c r="G1040" s="1508"/>
      <c r="H1040" s="1508"/>
      <c r="I1040" s="1508"/>
      <c r="J1040" s="1508"/>
      <c r="K1040" s="1508"/>
      <c r="L1040" s="1508"/>
      <c r="M1040" s="1508"/>
      <c r="N1040" s="1508"/>
      <c r="O1040" s="1508"/>
      <c r="P1040" s="1508"/>
      <c r="Q1040" s="1508"/>
      <c r="R1040" s="1508"/>
      <c r="S1040" s="1508"/>
      <c r="T1040" s="1508"/>
      <c r="U1040" s="1508"/>
      <c r="V1040" s="1508"/>
      <c r="W1040" s="1508"/>
      <c r="X1040" s="1508"/>
      <c r="Y1040" s="1508"/>
      <c r="Z1040" s="1508"/>
      <c r="AA1040" s="1508"/>
      <c r="AB1040" s="1508"/>
      <c r="AC1040" s="1508"/>
      <c r="AD1040" s="1508"/>
      <c r="AE1040" s="1509"/>
      <c r="AF1040" s="73"/>
      <c r="AG1040" s="14"/>
      <c r="AH1040" s="14"/>
      <c r="AI1040" s="83"/>
      <c r="AJ1040" s="1398"/>
      <c r="AK1040" s="1399"/>
      <c r="AL1040" s="1399"/>
      <c r="AM1040" s="1399"/>
      <c r="AN1040" s="1399"/>
      <c r="AO1040" s="1399"/>
      <c r="AP1040" s="1399"/>
      <c r="AQ1040" s="1400"/>
      <c r="AR1040" s="68"/>
      <c r="AS1040" s="68"/>
      <c r="AT1040" s="68"/>
      <c r="AU1040" s="68"/>
      <c r="AV1040" s="68"/>
      <c r="AW1040" s="68"/>
      <c r="AX1040" s="68"/>
      <c r="AY1040" s="68"/>
      <c r="BA1040" t="b">
        <f>'Points System'!AJ164="Yes"</f>
        <v>0</v>
      </c>
      <c r="BB1040" s="3" t="s">
        <v>2490</v>
      </c>
    </row>
    <row r="1041" spans="1:56" ht="12.95" customHeight="1">
      <c r="A1041" s="14"/>
      <c r="B1041" s="79"/>
      <c r="C1041" s="131" t="s">
        <v>1009</v>
      </c>
      <c r="D1041" s="1483" t="s">
        <v>1296</v>
      </c>
      <c r="E1041" s="1484"/>
      <c r="F1041" s="1484"/>
      <c r="G1041" s="1484"/>
      <c r="H1041" s="1484"/>
      <c r="I1041" s="1484"/>
      <c r="J1041" s="1484"/>
      <c r="K1041" s="1484"/>
      <c r="L1041" s="1484"/>
      <c r="M1041" s="1484"/>
      <c r="N1041" s="1484"/>
      <c r="O1041" s="1484"/>
      <c r="P1041" s="1484"/>
      <c r="Q1041" s="1484"/>
      <c r="R1041" s="1484"/>
      <c r="S1041" s="1484"/>
      <c r="T1041" s="1484"/>
      <c r="U1041" s="1484"/>
      <c r="V1041" s="1484"/>
      <c r="W1041" s="1484"/>
      <c r="X1041" s="1484"/>
      <c r="Y1041" s="1484"/>
      <c r="Z1041" s="1484"/>
      <c r="AA1041" s="1484"/>
      <c r="AB1041" s="1484"/>
      <c r="AC1041" s="1484"/>
      <c r="AD1041" s="1484"/>
      <c r="AE1041" s="1485"/>
      <c r="AF1041" s="79"/>
      <c r="AG1041" s="1491" t="s">
        <v>669</v>
      </c>
      <c r="AH1041" s="1492"/>
      <c r="AI1041" s="87"/>
      <c r="AJ1041" s="1395">
        <f>ROUND(IF(AG1041="yes",(AJ992*0.1),0),0)</f>
        <v>0</v>
      </c>
      <c r="AK1041" s="1396"/>
      <c r="AL1041" s="1396"/>
      <c r="AM1041" s="1396"/>
      <c r="AN1041" s="1396"/>
      <c r="AO1041" s="1396"/>
      <c r="AP1041" s="1396"/>
      <c r="AQ1041" s="1397"/>
      <c r="AR1041" s="68"/>
      <c r="AS1041" s="68"/>
      <c r="AT1041" s="68"/>
      <c r="AU1041" s="68"/>
      <c r="AV1041" s="68"/>
      <c r="AW1041" s="68"/>
      <c r="AX1041" s="68"/>
      <c r="AY1041" s="68"/>
      <c r="BA1041">
        <f>Q212</f>
        <v>0</v>
      </c>
      <c r="BB1041" s="3" t="s">
        <v>2491</v>
      </c>
    </row>
    <row r="1042" spans="1:56" ht="12.95" customHeight="1">
      <c r="A1042" s="14"/>
      <c r="B1042" s="73"/>
      <c r="C1042" s="74"/>
      <c r="D1042" s="1496" t="s">
        <v>2144</v>
      </c>
      <c r="E1042" s="1497"/>
      <c r="F1042" s="1497"/>
      <c r="G1042" s="1497"/>
      <c r="H1042" s="1497"/>
      <c r="I1042" s="1497"/>
      <c r="J1042" s="1497"/>
      <c r="K1042" s="1497"/>
      <c r="L1042" s="1497"/>
      <c r="M1042" s="1497"/>
      <c r="N1042" s="1497"/>
      <c r="O1042" s="1497"/>
      <c r="P1042" s="1497"/>
      <c r="Q1042" s="1497"/>
      <c r="R1042" s="1497"/>
      <c r="S1042" s="1497"/>
      <c r="T1042" s="1497"/>
      <c r="U1042" s="1497"/>
      <c r="V1042" s="1497"/>
      <c r="W1042" s="1497"/>
      <c r="X1042" s="1497"/>
      <c r="Y1042" s="1497"/>
      <c r="Z1042" s="1497"/>
      <c r="AA1042" s="1497"/>
      <c r="AB1042" s="1497"/>
      <c r="AC1042" s="1497"/>
      <c r="AD1042" s="1497"/>
      <c r="AE1042" s="1498"/>
      <c r="AF1042" s="73"/>
      <c r="AG1042" s="14"/>
      <c r="AH1042" s="14"/>
      <c r="AI1042" s="83"/>
      <c r="AJ1042" s="1398"/>
      <c r="AK1042" s="1399"/>
      <c r="AL1042" s="1399"/>
      <c r="AM1042" s="1399"/>
      <c r="AN1042" s="1399"/>
      <c r="AO1042" s="1399"/>
      <c r="AP1042" s="1399"/>
      <c r="AQ1042" s="1400"/>
      <c r="AR1042" s="68"/>
      <c r="AS1042" s="68"/>
      <c r="AT1042" s="68"/>
      <c r="AU1042" s="68"/>
      <c r="AV1042" s="68"/>
      <c r="AW1042" s="68"/>
      <c r="AX1042" s="68"/>
      <c r="AY1042" s="68"/>
      <c r="BA1042" s="1183">
        <f>T212</f>
        <v>0</v>
      </c>
      <c r="BB1042" s="3" t="s">
        <v>2492</v>
      </c>
    </row>
    <row r="1043" spans="1:56" ht="12.95" customHeight="1">
      <c r="A1043" s="14"/>
      <c r="B1043" s="73"/>
      <c r="C1043" s="74"/>
      <c r="D1043" s="1496"/>
      <c r="E1043" s="1497"/>
      <c r="F1043" s="1497"/>
      <c r="G1043" s="1497"/>
      <c r="H1043" s="1497"/>
      <c r="I1043" s="1497"/>
      <c r="J1043" s="1497"/>
      <c r="K1043" s="1497"/>
      <c r="L1043" s="1497"/>
      <c r="M1043" s="1497"/>
      <c r="N1043" s="1497"/>
      <c r="O1043" s="1497"/>
      <c r="P1043" s="1497"/>
      <c r="Q1043" s="1497"/>
      <c r="R1043" s="1497"/>
      <c r="S1043" s="1497"/>
      <c r="T1043" s="1497"/>
      <c r="U1043" s="1497"/>
      <c r="V1043" s="1497"/>
      <c r="W1043" s="1497"/>
      <c r="X1043" s="1497"/>
      <c r="Y1043" s="1497"/>
      <c r="Z1043" s="1497"/>
      <c r="AA1043" s="1497"/>
      <c r="AB1043" s="1497"/>
      <c r="AC1043" s="1497"/>
      <c r="AD1043" s="1497"/>
      <c r="AE1043" s="1498"/>
      <c r="AF1043" s="73"/>
      <c r="AG1043" s="14"/>
      <c r="AH1043" s="14"/>
      <c r="AI1043" s="83"/>
      <c r="AJ1043" s="1398"/>
      <c r="AK1043" s="1399"/>
      <c r="AL1043" s="1399"/>
      <c r="AM1043" s="1399"/>
      <c r="AN1043" s="1399"/>
      <c r="AO1043" s="1399"/>
      <c r="AP1043" s="1399"/>
      <c r="AQ1043" s="1400"/>
      <c r="AR1043" s="68"/>
      <c r="AS1043" s="68"/>
      <c r="AT1043" s="68"/>
      <c r="AU1043" s="68"/>
      <c r="AV1043" s="68"/>
      <c r="AW1043" s="68"/>
      <c r="AX1043" s="68"/>
      <c r="AY1043" s="68"/>
    </row>
    <row r="1044" spans="1:56" ht="12.95" customHeight="1">
      <c r="A1044" s="14"/>
      <c r="B1044" s="73"/>
      <c r="C1044" s="74"/>
      <c r="D1044" s="1499"/>
      <c r="E1044" s="1500"/>
      <c r="F1044" s="1500"/>
      <c r="G1044" s="1500"/>
      <c r="H1044" s="1500"/>
      <c r="I1044" s="1500"/>
      <c r="J1044" s="1500"/>
      <c r="K1044" s="1500"/>
      <c r="L1044" s="1500"/>
      <c r="M1044" s="1500"/>
      <c r="N1044" s="1500"/>
      <c r="O1044" s="1500"/>
      <c r="P1044" s="1500"/>
      <c r="Q1044" s="1500"/>
      <c r="R1044" s="1500"/>
      <c r="S1044" s="1500"/>
      <c r="T1044" s="1500"/>
      <c r="U1044" s="1500"/>
      <c r="V1044" s="1500"/>
      <c r="W1044" s="1500"/>
      <c r="X1044" s="1500"/>
      <c r="Y1044" s="1500"/>
      <c r="Z1044" s="1500"/>
      <c r="AA1044" s="1500"/>
      <c r="AB1044" s="1500"/>
      <c r="AC1044" s="1500"/>
      <c r="AD1044" s="1500"/>
      <c r="AE1044" s="1501"/>
      <c r="AF1044" s="73"/>
      <c r="AG1044" s="14"/>
      <c r="AH1044" s="14"/>
      <c r="AI1044" s="83"/>
      <c r="AJ1044" s="1401"/>
      <c r="AK1044" s="1402"/>
      <c r="AL1044" s="1402"/>
      <c r="AM1044" s="1402"/>
      <c r="AN1044" s="1402"/>
      <c r="AO1044" s="1402"/>
      <c r="AP1044" s="1402"/>
      <c r="AQ1044" s="1403"/>
      <c r="AR1044" s="68"/>
      <c r="AS1044" s="68"/>
      <c r="AT1044" s="68"/>
      <c r="AU1044" s="68"/>
      <c r="AV1044" s="68"/>
      <c r="AW1044" s="68"/>
      <c r="AX1044" s="68"/>
      <c r="AY1044" s="68"/>
    </row>
    <row r="1045" spans="1:56" ht="12.95" customHeight="1">
      <c r="A1045" s="14"/>
      <c r="B1045" s="79"/>
      <c r="C1045" s="131" t="s">
        <v>1683</v>
      </c>
      <c r="D1045" s="1493" t="s">
        <v>1864</v>
      </c>
      <c r="E1045" s="1494"/>
      <c r="F1045" s="1494"/>
      <c r="G1045" s="1494"/>
      <c r="H1045" s="1494"/>
      <c r="I1045" s="1494"/>
      <c r="J1045" s="1494"/>
      <c r="K1045" s="1494"/>
      <c r="L1045" s="1494"/>
      <c r="M1045" s="1494"/>
      <c r="N1045" s="1494"/>
      <c r="O1045" s="1494"/>
      <c r="P1045" s="1494"/>
      <c r="Q1045" s="1494"/>
      <c r="R1045" s="1494"/>
      <c r="S1045" s="1494"/>
      <c r="T1045" s="1494"/>
      <c r="U1045" s="1494"/>
      <c r="V1045" s="1494"/>
      <c r="W1045" s="1494"/>
      <c r="X1045" s="1494"/>
      <c r="Y1045" s="1494"/>
      <c r="Z1045" s="1494"/>
      <c r="AA1045" s="1494"/>
      <c r="AB1045" s="1494"/>
      <c r="AC1045" s="1494"/>
      <c r="AD1045" s="1494"/>
      <c r="AE1045" s="1495"/>
      <c r="AF1045" s="79"/>
      <c r="AG1045" s="1540" t="str">
        <f>IF(X1048&gt;0,"Yes","No")</f>
        <v>Yes</v>
      </c>
      <c r="AH1045" s="1541"/>
      <c r="AI1045" s="87"/>
      <c r="AJ1045" s="1395">
        <f>IF((X1048=0),0,AY1005*AJ992)</f>
        <v>18222990.75</v>
      </c>
      <c r="AK1045" s="1396"/>
      <c r="AL1045" s="1396"/>
      <c r="AM1045" s="1396"/>
      <c r="AN1045" s="1396"/>
      <c r="AO1045" s="1396"/>
      <c r="AP1045" s="1396"/>
      <c r="AQ1045" s="1397"/>
      <c r="AR1045" s="68"/>
      <c r="AS1045" s="68"/>
      <c r="AT1045" s="68"/>
      <c r="AU1045" s="68"/>
      <c r="AV1045" s="68"/>
      <c r="AW1045" s="68"/>
      <c r="AX1045" s="68"/>
      <c r="AY1045" s="68"/>
      <c r="AZ1045" s="118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2.95" customHeight="1">
      <c r="A1046" s="14"/>
      <c r="B1046" s="73"/>
      <c r="C1046" s="442"/>
      <c r="D1046" s="1496" t="s">
        <v>1298</v>
      </c>
      <c r="E1046" s="1497"/>
      <c r="F1046" s="1497"/>
      <c r="G1046" s="1497"/>
      <c r="H1046" s="1497"/>
      <c r="I1046" s="1497"/>
      <c r="J1046" s="1497"/>
      <c r="K1046" s="1497"/>
      <c r="L1046" s="1497"/>
      <c r="M1046" s="1497"/>
      <c r="N1046" s="1497"/>
      <c r="O1046" s="1497"/>
      <c r="P1046" s="1497"/>
      <c r="Q1046" s="1497"/>
      <c r="R1046" s="1497"/>
      <c r="S1046" s="1497"/>
      <c r="T1046" s="1497"/>
      <c r="U1046" s="1497"/>
      <c r="V1046" s="1497"/>
      <c r="W1046" s="1497"/>
      <c r="X1046" s="1497"/>
      <c r="Y1046" s="1497"/>
      <c r="Z1046" s="1497"/>
      <c r="AA1046" s="1497"/>
      <c r="AB1046" s="1497"/>
      <c r="AC1046" s="1497"/>
      <c r="AD1046" s="1497"/>
      <c r="AE1046" s="1498"/>
      <c r="AF1046" s="73"/>
      <c r="AG1046" s="443"/>
      <c r="AH1046" s="443"/>
      <c r="AI1046" s="83"/>
      <c r="AJ1046" s="1398"/>
      <c r="AK1046" s="1399"/>
      <c r="AL1046" s="1399"/>
      <c r="AM1046" s="1399"/>
      <c r="AN1046" s="1399"/>
      <c r="AO1046" s="1399"/>
      <c r="AP1046" s="1399"/>
      <c r="AQ1046" s="1400"/>
      <c r="AR1046" s="68"/>
      <c r="AS1046" s="68"/>
      <c r="AT1046" s="68"/>
      <c r="AU1046" s="13"/>
      <c r="AV1046" s="68"/>
      <c r="AW1046" s="68"/>
      <c r="AX1046" s="68"/>
      <c r="AY1046" s="68"/>
      <c r="AZ1046" s="961">
        <f>'Sources and Uses Budget'!S97*BA1046</f>
        <v>14854712.4</v>
      </c>
      <c r="BA1046" s="1181">
        <f>IF(BA1040,20%,15%)</f>
        <v>0.15</v>
      </c>
      <c r="BB1046" s="3" t="s">
        <v>2479</v>
      </c>
      <c r="BC1046" s="3" t="s">
        <v>2480</v>
      </c>
      <c r="BD1046" s="3"/>
    </row>
    <row r="1047" spans="1:56" ht="12.95" customHeight="1">
      <c r="A1047" s="14"/>
      <c r="B1047" s="73"/>
      <c r="C1047" s="442"/>
      <c r="D1047" s="1496"/>
      <c r="E1047" s="1497"/>
      <c r="F1047" s="1497"/>
      <c r="G1047" s="1497"/>
      <c r="H1047" s="1497"/>
      <c r="I1047" s="1497"/>
      <c r="J1047" s="1497"/>
      <c r="K1047" s="1497"/>
      <c r="L1047" s="1497"/>
      <c r="M1047" s="1497"/>
      <c r="N1047" s="1497"/>
      <c r="O1047" s="1497"/>
      <c r="P1047" s="1497"/>
      <c r="Q1047" s="1497"/>
      <c r="R1047" s="1497"/>
      <c r="S1047" s="1497"/>
      <c r="T1047" s="1497"/>
      <c r="U1047" s="1497"/>
      <c r="V1047" s="1497"/>
      <c r="W1047" s="1497"/>
      <c r="X1047" s="1497"/>
      <c r="Y1047" s="1497"/>
      <c r="Z1047" s="1497"/>
      <c r="AA1047" s="1497"/>
      <c r="AB1047" s="1497"/>
      <c r="AC1047" s="1497"/>
      <c r="AD1047" s="1497"/>
      <c r="AE1047" s="1498"/>
      <c r="AF1047" s="73"/>
      <c r="AG1047" s="443"/>
      <c r="AH1047" s="443"/>
      <c r="AI1047" s="83"/>
      <c r="AJ1047" s="1398"/>
      <c r="AK1047" s="1399"/>
      <c r="AL1047" s="1399"/>
      <c r="AM1047" s="1399"/>
      <c r="AN1047" s="1399"/>
      <c r="AO1047" s="1399"/>
      <c r="AP1047" s="1399"/>
      <c r="AQ1047" s="1400"/>
      <c r="AR1047" s="68"/>
      <c r="AS1047" s="68"/>
      <c r="AT1047" s="68"/>
      <c r="AU1047" s="13"/>
      <c r="AV1047" s="68"/>
      <c r="AW1047" s="68"/>
      <c r="AX1047" s="68"/>
      <c r="AY1047" s="68"/>
      <c r="AZ1047" s="961">
        <f>IF(M356="N/A",0,'Sources and Uses Budget'!T97*BA1047)</f>
        <v>0</v>
      </c>
      <c r="BA1047" s="1181">
        <v>0.15</v>
      </c>
      <c r="BB1047" s="3" t="s">
        <v>2479</v>
      </c>
      <c r="BC1047" s="3" t="s">
        <v>2481</v>
      </c>
      <c r="BD1047" s="3"/>
    </row>
    <row r="1048" spans="1:56" ht="12.95" customHeight="1">
      <c r="A1048" s="14"/>
      <c r="B1048" s="77"/>
      <c r="C1048" s="78"/>
      <c r="D1048" s="132" t="s">
        <v>971</v>
      </c>
      <c r="E1048" s="133"/>
      <c r="F1048" s="133"/>
      <c r="G1048" s="133"/>
      <c r="H1048" s="133"/>
      <c r="I1048" s="1538">
        <f>AY1003</f>
        <v>391</v>
      </c>
      <c r="J1048" s="1539"/>
      <c r="K1048" s="7"/>
      <c r="L1048" s="133"/>
      <c r="M1048" s="133"/>
      <c r="N1048" s="133"/>
      <c r="O1048" s="133"/>
      <c r="P1048" s="133"/>
      <c r="Q1048" s="133"/>
      <c r="R1048" s="133"/>
      <c r="S1048" s="133"/>
      <c r="T1048" s="133"/>
      <c r="U1048" s="133"/>
      <c r="V1048" s="134" t="s">
        <v>972</v>
      </c>
      <c r="W1048" s="48"/>
      <c r="X1048" s="1536">
        <f>CI753</f>
        <v>36</v>
      </c>
      <c r="Y1048" s="1537"/>
      <c r="Z1048" s="48"/>
      <c r="AA1048" s="48"/>
      <c r="AB1048" s="48"/>
      <c r="AC1048" s="48"/>
      <c r="AD1048" s="48"/>
      <c r="AE1048" s="49"/>
      <c r="AF1048" s="923"/>
      <c r="AG1048" s="924"/>
      <c r="AH1048" s="924"/>
      <c r="AI1048" s="925"/>
      <c r="AJ1048" s="1401"/>
      <c r="AK1048" s="1402"/>
      <c r="AL1048" s="1402"/>
      <c r="AM1048" s="1402"/>
      <c r="AN1048" s="1402"/>
      <c r="AO1048" s="1402"/>
      <c r="AP1048" s="1402"/>
      <c r="AQ1048" s="1403"/>
      <c r="AR1048" s="68"/>
      <c r="AS1048" s="68"/>
      <c r="AT1048" s="68"/>
      <c r="AU1048" s="14"/>
      <c r="AV1048" s="68"/>
      <c r="AW1048" s="68"/>
      <c r="AX1048" s="68"/>
      <c r="AY1048" s="68"/>
      <c r="AZ1048" s="961">
        <f>IF(M358="N/A",0,'Sources and Uses Budget'!T97*BA1048)</f>
        <v>0</v>
      </c>
      <c r="BA1048" s="1181" cm="1">
        <f t="array" ref="BA1048">_xlfn.IFS(X180="Yes",5%,$BA$1038&gt;50000,15%,BA1039&gt;=30%,15%,TRUE,5%)</f>
        <v>0.05</v>
      </c>
      <c r="BB1048" s="3" t="s">
        <v>2479</v>
      </c>
      <c r="BC1048" s="3" t="s">
        <v>2482</v>
      </c>
      <c r="BD1048" s="3"/>
    </row>
    <row r="1049" spans="1:56" ht="12.95" customHeight="1">
      <c r="A1049" s="14"/>
      <c r="B1049" s="79"/>
      <c r="C1049" s="131" t="s">
        <v>1684</v>
      </c>
      <c r="D1049" s="1483" t="s">
        <v>2170</v>
      </c>
      <c r="E1049" s="1484"/>
      <c r="F1049" s="1484"/>
      <c r="G1049" s="1484"/>
      <c r="H1049" s="1484"/>
      <c r="I1049" s="1484"/>
      <c r="J1049" s="1484"/>
      <c r="K1049" s="1484"/>
      <c r="L1049" s="1484"/>
      <c r="M1049" s="1484"/>
      <c r="N1049" s="1484"/>
      <c r="O1049" s="1484"/>
      <c r="P1049" s="1484"/>
      <c r="Q1049" s="1484"/>
      <c r="R1049" s="1484"/>
      <c r="S1049" s="1484"/>
      <c r="T1049" s="1484"/>
      <c r="U1049" s="1484"/>
      <c r="V1049" s="1484"/>
      <c r="W1049" s="1484"/>
      <c r="X1049" s="1484"/>
      <c r="Y1049" s="1484"/>
      <c r="Z1049" s="1484"/>
      <c r="AA1049" s="1484"/>
      <c r="AB1049" s="1484"/>
      <c r="AC1049" s="1484"/>
      <c r="AD1049" s="1484"/>
      <c r="AE1049" s="1485"/>
      <c r="AF1049" s="73"/>
      <c r="AG1049" s="1540" t="str">
        <f>IF(X1052&gt;0,"Yes","No")</f>
        <v>Yes</v>
      </c>
      <c r="AH1049" s="1541"/>
      <c r="AI1049" s="83"/>
      <c r="AJ1049" s="1395">
        <f>IF((X1052=0),0,(2*AY1006)*AJ992)</f>
        <v>40495535</v>
      </c>
      <c r="AK1049" s="1396"/>
      <c r="AL1049" s="1396"/>
      <c r="AM1049" s="1396"/>
      <c r="AN1049" s="1396"/>
      <c r="AO1049" s="1396"/>
      <c r="AP1049" s="1396"/>
      <c r="AQ1049" s="1397"/>
      <c r="AR1049" s="68"/>
      <c r="AS1049" s="68"/>
      <c r="AT1049" s="68"/>
      <c r="AU1049" s="14"/>
      <c r="AV1049" s="68"/>
      <c r="AW1049" s="68"/>
      <c r="AX1049" s="68"/>
      <c r="AY1049" s="68"/>
      <c r="AZ1049" s="961">
        <f>AZ1045*BA1049</f>
        <v>0</v>
      </c>
      <c r="BA1049" s="1181">
        <v>0.15</v>
      </c>
      <c r="BB1049" s="3" t="s">
        <v>2479</v>
      </c>
      <c r="BC1049" s="3" t="s">
        <v>2483</v>
      </c>
      <c r="BD1049" s="3"/>
    </row>
    <row r="1050" spans="1:56" ht="12.95" customHeight="1">
      <c r="A1050" s="14"/>
      <c r="B1050" s="73"/>
      <c r="C1050" s="442"/>
      <c r="D1050" s="1496" t="s">
        <v>1297</v>
      </c>
      <c r="E1050" s="1497"/>
      <c r="F1050" s="1497"/>
      <c r="G1050" s="1497"/>
      <c r="H1050" s="1497"/>
      <c r="I1050" s="1497"/>
      <c r="J1050" s="1497"/>
      <c r="K1050" s="1497"/>
      <c r="L1050" s="1497"/>
      <c r="M1050" s="1497"/>
      <c r="N1050" s="1497"/>
      <c r="O1050" s="1497"/>
      <c r="P1050" s="1497"/>
      <c r="Q1050" s="1497"/>
      <c r="R1050" s="1497"/>
      <c r="S1050" s="1497"/>
      <c r="T1050" s="1497"/>
      <c r="U1050" s="1497"/>
      <c r="V1050" s="1497"/>
      <c r="W1050" s="1497"/>
      <c r="X1050" s="1497"/>
      <c r="Y1050" s="1497"/>
      <c r="Z1050" s="1497"/>
      <c r="AA1050" s="1497"/>
      <c r="AB1050" s="1497"/>
      <c r="AC1050" s="1497"/>
      <c r="AD1050" s="1497"/>
      <c r="AE1050" s="1498"/>
      <c r="AF1050" s="73"/>
      <c r="AG1050" s="443"/>
      <c r="AH1050" s="443"/>
      <c r="AI1050" s="83"/>
      <c r="AJ1050" s="1398"/>
      <c r="AK1050" s="1399"/>
      <c r="AL1050" s="1399"/>
      <c r="AM1050" s="1399"/>
      <c r="AN1050" s="1399"/>
      <c r="AO1050" s="1399"/>
      <c r="AP1050" s="1399"/>
      <c r="AQ1050" s="1400"/>
      <c r="AR1050" s="68"/>
      <c r="AS1050" s="68"/>
      <c r="AT1050" s="68"/>
      <c r="AU1050" s="68"/>
      <c r="AV1050" s="68"/>
      <c r="AW1050" s="68"/>
      <c r="AX1050" s="68"/>
      <c r="AY1050" s="68"/>
      <c r="AZ1050" s="961"/>
      <c r="BA1050" s="3"/>
      <c r="BB1050" s="3"/>
      <c r="BC1050" s="3"/>
      <c r="BD1050" s="3"/>
    </row>
    <row r="1051" spans="1:56" ht="12.95" customHeight="1">
      <c r="A1051" s="14"/>
      <c r="B1051" s="73"/>
      <c r="C1051" s="83"/>
      <c r="D1051" s="1496"/>
      <c r="E1051" s="1497"/>
      <c r="F1051" s="1497"/>
      <c r="G1051" s="1497"/>
      <c r="H1051" s="1497"/>
      <c r="I1051" s="1497"/>
      <c r="J1051" s="1497"/>
      <c r="K1051" s="1497"/>
      <c r="L1051" s="1497"/>
      <c r="M1051" s="1497"/>
      <c r="N1051" s="1497"/>
      <c r="O1051" s="1497"/>
      <c r="P1051" s="1497"/>
      <c r="Q1051" s="1497"/>
      <c r="R1051" s="1497"/>
      <c r="S1051" s="1497"/>
      <c r="T1051" s="1497"/>
      <c r="U1051" s="1497"/>
      <c r="V1051" s="1497"/>
      <c r="W1051" s="1497"/>
      <c r="X1051" s="1497"/>
      <c r="Y1051" s="1497"/>
      <c r="Z1051" s="1497"/>
      <c r="AA1051" s="1497"/>
      <c r="AB1051" s="1497"/>
      <c r="AC1051" s="1497"/>
      <c r="AD1051" s="1497"/>
      <c r="AE1051" s="1498"/>
      <c r="AF1051" s="920"/>
      <c r="AG1051" s="921"/>
      <c r="AH1051" s="921"/>
      <c r="AI1051" s="922"/>
      <c r="AJ1051" s="1398"/>
      <c r="AK1051" s="1399"/>
      <c r="AL1051" s="1399"/>
      <c r="AM1051" s="1399"/>
      <c r="AN1051" s="1399"/>
      <c r="AO1051" s="1399"/>
      <c r="AP1051" s="1399"/>
      <c r="AQ1051" s="1400"/>
      <c r="AR1051" s="68"/>
      <c r="AS1051" s="68"/>
      <c r="AT1051" s="68"/>
      <c r="AU1051" s="68"/>
      <c r="AV1051" s="68"/>
      <c r="AW1051" s="68"/>
      <c r="AX1051" s="68"/>
      <c r="AY1051" s="68"/>
      <c r="AZ1051" s="961">
        <f>ROUNDDOWN(MIN(SUM(AZ1046,AZ1047,AZ1048,AZ1049),BD1051),0)</f>
        <v>2500000</v>
      </c>
      <c r="BA1051" s="3" t="s">
        <v>2484</v>
      </c>
      <c r="BB1051" s="3"/>
      <c r="BC1051" s="3"/>
      <c r="BD1051" s="3" cm="1">
        <f t="array" ref="BD1051">_xlfn.IFS(BA1040,3000000,AND(BA1041&gt;=25%,BA1042&gt;=15),2800000,TRUE,2500000)</f>
        <v>2500000</v>
      </c>
    </row>
    <row r="1052" spans="1:56" ht="12.95" customHeight="1">
      <c r="A1052" s="14"/>
      <c r="B1052" s="77"/>
      <c r="C1052" s="78"/>
      <c r="D1052" s="132" t="s">
        <v>971</v>
      </c>
      <c r="E1052" s="133"/>
      <c r="F1052" s="133"/>
      <c r="G1052" s="133"/>
      <c r="H1052" s="133"/>
      <c r="I1052" s="1538">
        <f>AY1003</f>
        <v>391</v>
      </c>
      <c r="J1052" s="1539"/>
      <c r="K1052" s="14"/>
      <c r="L1052" s="133"/>
      <c r="M1052" s="133"/>
      <c r="N1052" s="133"/>
      <c r="O1052" s="133"/>
      <c r="P1052" s="133"/>
      <c r="Q1052" s="133"/>
      <c r="R1052" s="133"/>
      <c r="S1052" s="133"/>
      <c r="T1052" s="133"/>
      <c r="U1052" s="133"/>
      <c r="V1052" s="134" t="s">
        <v>973</v>
      </c>
      <c r="X1052" s="1536">
        <f>CM753</f>
        <v>43</v>
      </c>
      <c r="Y1052" s="1537"/>
      <c r="AF1052" s="923"/>
      <c r="AG1052" s="924"/>
      <c r="AH1052" s="924"/>
      <c r="AI1052" s="925"/>
      <c r="AJ1052" s="1401"/>
      <c r="AK1052" s="1402"/>
      <c r="AL1052" s="1402"/>
      <c r="AM1052" s="1402"/>
      <c r="AN1052" s="1402"/>
      <c r="AO1052" s="1402"/>
      <c r="AP1052" s="1402"/>
      <c r="AQ1052" s="1403"/>
      <c r="AR1052" s="68"/>
      <c r="AS1052" s="68"/>
      <c r="AT1052" s="68"/>
      <c r="AU1052" s="68"/>
      <c r="AV1052" s="68"/>
      <c r="AW1052" s="68"/>
      <c r="AX1052" s="68"/>
      <c r="AY1052" s="68"/>
      <c r="AZ1052" s="961">
        <f>ROUNDDOWN(MAX(0,BA1052*(SUM(AG1093,AL1093,AZ1045)-BD1052))+BF1052,0)</f>
        <v>0</v>
      </c>
      <c r="BA1052" s="1181">
        <f>IF(L1042,7%,5%)</f>
        <v>0.05</v>
      </c>
      <c r="BB1052" s="3" t="s">
        <v>2485</v>
      </c>
      <c r="BC1052" s="3"/>
      <c r="BD1052" s="3">
        <v>6666667</v>
      </c>
    </row>
    <row r="1053" spans="1:56" ht="12.95" customHeight="1">
      <c r="A1053" s="14"/>
      <c r="B1053" s="102"/>
      <c r="C1053" s="103"/>
      <c r="D1053" s="1534" t="s">
        <v>513</v>
      </c>
      <c r="E1053" s="1534"/>
      <c r="F1053" s="1534"/>
      <c r="G1053" s="1534"/>
      <c r="H1053" s="1534"/>
      <c r="I1053" s="1534"/>
      <c r="J1053" s="1534"/>
      <c r="K1053" s="1534"/>
      <c r="L1053" s="1534"/>
      <c r="M1053" s="1534"/>
      <c r="N1053" s="1534"/>
      <c r="O1053" s="1534"/>
      <c r="P1053" s="1534"/>
      <c r="Q1053" s="1534"/>
      <c r="R1053" s="1534"/>
      <c r="S1053" s="1534"/>
      <c r="T1053" s="1534"/>
      <c r="U1053" s="1534"/>
      <c r="V1053" s="1534"/>
      <c r="W1053" s="1534"/>
      <c r="X1053" s="1534"/>
      <c r="Y1053" s="1534"/>
      <c r="Z1053" s="1534"/>
      <c r="AA1053" s="1534"/>
      <c r="AB1053" s="1534"/>
      <c r="AC1053" s="1534"/>
      <c r="AD1053" s="1534"/>
      <c r="AE1053" s="1534"/>
      <c r="AF1053" s="1534"/>
      <c r="AG1053" s="1534"/>
      <c r="AH1053" s="1534"/>
      <c r="AI1053" s="1535"/>
      <c r="AJ1053" s="1545">
        <f>SUM(AJ992:AQ1052)</f>
        <v>321939504.75</v>
      </c>
      <c r="AK1053" s="1546"/>
      <c r="AL1053" s="1546"/>
      <c r="AM1053" s="1546"/>
      <c r="AN1053" s="1546"/>
      <c r="AO1053" s="1546"/>
      <c r="AP1053" s="1546"/>
      <c r="AQ1053" s="1547"/>
      <c r="AR1053" s="68"/>
      <c r="AS1053" s="68"/>
      <c r="AT1053" s="68"/>
      <c r="AU1053" s="68"/>
      <c r="AV1053" s="68"/>
      <c r="AW1053" s="68"/>
      <c r="AX1053" s="68"/>
      <c r="AY1053" s="68"/>
      <c r="AZ1053" s="1180">
        <v>6000000</v>
      </c>
      <c r="BA1053" s="3" t="s">
        <v>2486</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2" t="s">
        <v>2471</v>
      </c>
      <c r="H1055" s="1173"/>
      <c r="I1055" s="1173"/>
      <c r="J1055" s="1173"/>
      <c r="K1055" s="1173"/>
      <c r="L1055" s="1173"/>
      <c r="M1055" s="1173"/>
      <c r="N1055" s="1173"/>
      <c r="O1055" s="1173"/>
      <c r="P1055" s="1173"/>
      <c r="Q1055" s="1173"/>
      <c r="R1055" s="1173"/>
      <c r="S1055" s="1173"/>
      <c r="T1055" s="1173"/>
      <c r="U1055" s="1173"/>
      <c r="V1055" s="1173"/>
      <c r="W1055" s="1173"/>
      <c r="X1055" s="1173"/>
      <c r="Y1055" s="1173"/>
      <c r="Z1055" s="1173"/>
      <c r="AA1055" s="1173"/>
      <c r="AB1055" s="1173"/>
      <c r="AC1055" s="1173"/>
      <c r="AD1055" s="1173"/>
      <c r="AE1055" s="1173"/>
      <c r="AF1055" s="1173"/>
      <c r="AG1055" s="1174"/>
      <c r="AH1055" s="1174"/>
      <c r="AI1055" s="1174"/>
      <c r="AJ1055" s="1174"/>
      <c r="AK1055" s="1174"/>
      <c r="AL1055" s="1174"/>
      <c r="AM1055" s="1174"/>
      <c r="AN1055" s="1174"/>
      <c r="AO1055" s="68"/>
      <c r="AP1055" s="68"/>
      <c r="AQ1055" s="68"/>
      <c r="AR1055" s="68"/>
      <c r="AS1055" s="68"/>
      <c r="AT1055" s="68"/>
      <c r="AU1055" s="68"/>
      <c r="AV1055" s="68"/>
      <c r="AW1055" s="68"/>
      <c r="AX1055" s="68"/>
      <c r="AY1055" s="68"/>
      <c r="AZ1055" s="3"/>
      <c r="BA1055" s="961">
        <f>MIN(MIN(MAX(AZ1051,AZ1052),AZ1053),BA1056)</f>
        <v>2500000</v>
      </c>
      <c r="BB1055" s="3" t="s">
        <v>2487</v>
      </c>
      <c r="BC1055" s="3"/>
      <c r="BD1055" s="3"/>
    </row>
    <row r="1056" spans="1:56" ht="12.95" customHeight="1">
      <c r="A1056" s="14"/>
      <c r="B1056" s="68"/>
      <c r="C1056" s="68"/>
      <c r="D1056" s="68"/>
      <c r="E1056" s="68"/>
      <c r="F1056" s="68"/>
      <c r="G1056" s="1175" t="s">
        <v>2472</v>
      </c>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857">
        <f>'Sources and Uses Budget'!S107+'Sources and Uses Budget'!T107</f>
        <v>113886128</v>
      </c>
      <c r="AB1056" s="1857"/>
      <c r="AC1056" s="1857"/>
      <c r="AD1056" s="1857"/>
      <c r="AE1056" s="1857"/>
      <c r="AF1056" s="1857"/>
      <c r="AG1056" s="1174"/>
      <c r="AH1056" s="1174"/>
      <c r="AI1056" s="1174"/>
      <c r="AJ1056" s="1174"/>
      <c r="AK1056" s="1174"/>
      <c r="AL1056" s="1174"/>
      <c r="AM1056" s="1174"/>
      <c r="AN1056" s="1174"/>
      <c r="AO1056" s="68"/>
      <c r="AP1056" s="68"/>
      <c r="AQ1056" s="68"/>
      <c r="AR1056" s="68"/>
      <c r="AS1056" s="68"/>
      <c r="AT1056" s="68"/>
      <c r="AU1056" s="68"/>
      <c r="AV1056" s="13"/>
      <c r="AW1056" s="13"/>
      <c r="AX1056" s="13"/>
      <c r="AY1056" s="13"/>
      <c r="AZ1056" s="3"/>
      <c r="BA1056" s="961">
        <f>SUM(AZ1046:AZ1049)</f>
        <v>14854712.4</v>
      </c>
      <c r="BB1056" s="3" t="s">
        <v>2488</v>
      </c>
      <c r="BC1056" s="3"/>
      <c r="BD1056" s="3"/>
    </row>
    <row r="1057" spans="1:54" ht="12.95" customHeight="1">
      <c r="A1057" s="14"/>
      <c r="B1057" s="68"/>
      <c r="C1057" s="68"/>
      <c r="D1057" s="68"/>
      <c r="E1057" s="68"/>
      <c r="F1057" s="68"/>
      <c r="G1057" s="1175"/>
      <c r="H1057" s="1175" t="s">
        <v>2473</v>
      </c>
      <c r="I1057" s="1176"/>
      <c r="J1057" s="1176"/>
      <c r="K1057" s="1176"/>
      <c r="L1057" s="1176"/>
      <c r="M1057" s="1176"/>
      <c r="N1057" s="1176"/>
      <c r="O1057" s="1176"/>
      <c r="P1057" s="1176"/>
      <c r="Q1057" s="1176"/>
      <c r="R1057" s="1176"/>
      <c r="S1057" s="1176"/>
      <c r="T1057" s="1176"/>
      <c r="U1057" s="1176"/>
      <c r="V1057" s="1176"/>
      <c r="W1057" s="1176"/>
      <c r="X1057" s="1176"/>
      <c r="Y1057" s="1176"/>
      <c r="Z1057" s="1178"/>
      <c r="AA1057" s="1858">
        <f>IFERROR((AA1056-BA1059)/(AJ1053-AJ1045-AJ1049),"")</f>
        <v>0.38572691426696654</v>
      </c>
      <c r="AB1057" s="1859"/>
      <c r="AC1057" s="1859"/>
      <c r="AD1057" s="1859"/>
      <c r="AE1057" s="1859"/>
      <c r="AF1057" s="1860"/>
      <c r="AG1057" s="1177"/>
      <c r="AH1057" s="1174"/>
      <c r="AI1057" s="1174"/>
      <c r="AJ1057" s="1174"/>
      <c r="AK1057" s="1174"/>
      <c r="AL1057" s="1174"/>
      <c r="AM1057" s="1174"/>
      <c r="AN1057" s="1174"/>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1"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1"/>
      <c r="I1058" s="1861"/>
      <c r="J1058" s="1861"/>
      <c r="K1058" s="1861"/>
      <c r="L1058" s="1861"/>
      <c r="M1058" s="1861"/>
      <c r="N1058" s="1861"/>
      <c r="O1058" s="1861"/>
      <c r="P1058" s="1861"/>
      <c r="Q1058" s="1861"/>
      <c r="R1058" s="1861"/>
      <c r="S1058" s="1861"/>
      <c r="T1058" s="1861"/>
      <c r="U1058" s="1861"/>
      <c r="V1058" s="1861"/>
      <c r="W1058" s="1861"/>
      <c r="X1058" s="1861"/>
      <c r="Y1058" s="1861"/>
      <c r="Z1058" s="1861"/>
      <c r="AA1058" s="1861"/>
      <c r="AB1058" s="1861"/>
      <c r="AC1058" s="1861"/>
      <c r="AD1058" s="1861"/>
      <c r="AE1058" s="1861"/>
      <c r="AF1058" s="1861"/>
      <c r="AG1058" s="1861"/>
      <c r="AH1058" s="1861"/>
      <c r="AI1058" s="1861"/>
      <c r="AJ1058" s="1861"/>
      <c r="AK1058" s="1861"/>
      <c r="AL1058" s="1861"/>
      <c r="AM1058" s="1861"/>
      <c r="AN1058" s="1861"/>
      <c r="AO1058" s="68"/>
      <c r="AP1058" s="68"/>
      <c r="AQ1058" s="68"/>
      <c r="AR1058" s="68"/>
      <c r="AS1058" s="68"/>
      <c r="AT1058" s="68"/>
      <c r="AU1058" s="68"/>
      <c r="AV1058" s="14"/>
      <c r="AW1058" s="14"/>
      <c r="AX1058" s="14"/>
      <c r="AY1058" s="14"/>
      <c r="BA1058" s="1184">
        <f>'Sources and Uses Budget'!$S$104+'Sources and Uses Budget'!$T$104</f>
        <v>14854712</v>
      </c>
      <c r="BB1058" s="3" t="s">
        <v>2494</v>
      </c>
    </row>
    <row r="1059" spans="1:54" ht="12.95" customHeight="1">
      <c r="A1059" s="14"/>
      <c r="B1059" s="14"/>
      <c r="C1059" s="208"/>
      <c r="D1059" s="858"/>
      <c r="E1059" s="858"/>
      <c r="F1059" s="858"/>
      <c r="G1059" s="1861"/>
      <c r="H1059" s="1861"/>
      <c r="I1059" s="1861"/>
      <c r="J1059" s="1861"/>
      <c r="K1059" s="1861"/>
      <c r="L1059" s="1861"/>
      <c r="M1059" s="1861"/>
      <c r="N1059" s="1861"/>
      <c r="O1059" s="1861"/>
      <c r="P1059" s="1861"/>
      <c r="Q1059" s="1861"/>
      <c r="R1059" s="1861"/>
      <c r="S1059" s="1861"/>
      <c r="T1059" s="1861"/>
      <c r="U1059" s="1861"/>
      <c r="V1059" s="1861"/>
      <c r="W1059" s="1861"/>
      <c r="X1059" s="1861"/>
      <c r="Y1059" s="1861"/>
      <c r="Z1059" s="1861"/>
      <c r="AA1059" s="1861"/>
      <c r="AB1059" s="1861"/>
      <c r="AC1059" s="1861"/>
      <c r="AD1059" s="1861"/>
      <c r="AE1059" s="1861"/>
      <c r="AF1059" s="1861"/>
      <c r="AG1059" s="1861"/>
      <c r="AH1059" s="1861"/>
      <c r="AI1059" s="1861"/>
      <c r="AJ1059" s="1861"/>
      <c r="AK1059" s="1861"/>
      <c r="AL1059" s="1861"/>
      <c r="AM1059" s="1861"/>
      <c r="AN1059" s="1861"/>
      <c r="AO1059" s="68"/>
      <c r="AP1059" s="68"/>
      <c r="AQ1059" s="68"/>
      <c r="AR1059" s="68"/>
      <c r="AS1059" s="68"/>
      <c r="AT1059" s="68"/>
      <c r="AU1059" s="68"/>
      <c r="AV1059" s="14"/>
      <c r="AW1059" s="14"/>
      <c r="AX1059" s="14"/>
      <c r="AY1059" s="14"/>
      <c r="BA1059" s="1185">
        <f>MAX($BA$1058-$BA$1055,0)</f>
        <v>12354712</v>
      </c>
      <c r="BB1059" s="3" t="s">
        <v>2495</v>
      </c>
    </row>
    <row r="1060" spans="1:54" ht="12.95" customHeight="1">
      <c r="A1060" s="88"/>
      <c r="B1060" s="1171"/>
      <c r="C1060" s="1171"/>
      <c r="D1060" s="1171"/>
      <c r="E1060" s="1171"/>
      <c r="F1060" s="1171"/>
      <c r="G1060" s="1861"/>
      <c r="H1060" s="1861"/>
      <c r="I1060" s="1861"/>
      <c r="J1060" s="1861"/>
      <c r="K1060" s="1861"/>
      <c r="L1060" s="1861"/>
      <c r="M1060" s="1861"/>
      <c r="N1060" s="1861"/>
      <c r="O1060" s="1861"/>
      <c r="P1060" s="1861"/>
      <c r="Q1060" s="1861"/>
      <c r="R1060" s="1861"/>
      <c r="S1060" s="1861"/>
      <c r="T1060" s="1861"/>
      <c r="U1060" s="1861"/>
      <c r="V1060" s="1861"/>
      <c r="W1060" s="1861"/>
      <c r="X1060" s="1861"/>
      <c r="Y1060" s="1861"/>
      <c r="Z1060" s="1861"/>
      <c r="AA1060" s="1861"/>
      <c r="AB1060" s="1861"/>
      <c r="AC1060" s="1861"/>
      <c r="AD1060" s="1861"/>
      <c r="AE1060" s="1861"/>
      <c r="AF1060" s="1861"/>
      <c r="AG1060" s="1861"/>
      <c r="AH1060" s="1861"/>
      <c r="AI1060" s="1861"/>
      <c r="AJ1060" s="1861"/>
      <c r="AK1060" s="1861"/>
      <c r="AL1060" s="1861"/>
      <c r="AM1060" s="1861"/>
      <c r="AN1060" s="1861"/>
      <c r="AO1060" s="1171"/>
      <c r="AP1060" s="1171"/>
      <c r="AQ1060" s="68"/>
      <c r="AR1060" s="68"/>
      <c r="AS1060" s="68"/>
      <c r="AT1060" s="68"/>
      <c r="AU1060" s="68"/>
      <c r="AV1060" s="68"/>
      <c r="AW1060" s="68"/>
      <c r="AX1060" s="68"/>
      <c r="AY1060" s="68"/>
    </row>
    <row r="1061" spans="1:54" ht="12.95" customHeight="1">
      <c r="A1061" s="1346" t="s">
        <v>794</v>
      </c>
      <c r="B1061" s="1346"/>
      <c r="C1061" s="1346"/>
      <c r="D1061" s="1346"/>
      <c r="E1061" s="1346"/>
      <c r="F1061" s="1346"/>
      <c r="G1061" s="1346"/>
      <c r="H1061" s="1346"/>
      <c r="I1061" s="1346"/>
      <c r="J1061" s="1346"/>
      <c r="K1061" s="1346"/>
      <c r="L1061" s="1346"/>
      <c r="M1061" s="1346"/>
      <c r="N1061" s="1346"/>
      <c r="O1061" s="1346"/>
      <c r="P1061" s="1346"/>
      <c r="Q1061" s="1346"/>
      <c r="R1061" s="1346"/>
      <c r="S1061" s="1346"/>
      <c r="T1061" s="1346"/>
      <c r="U1061" s="1346"/>
      <c r="V1061" s="1346"/>
      <c r="W1061" s="1346"/>
      <c r="X1061" s="1346"/>
      <c r="Y1061" s="1346"/>
      <c r="Z1061" s="1346"/>
      <c r="AA1061" s="1346"/>
      <c r="AB1061" s="1346"/>
      <c r="AC1061" s="1346"/>
      <c r="AD1061" s="1346"/>
      <c r="AE1061" s="1346"/>
      <c r="AF1061" s="1346"/>
      <c r="AG1061" s="1346"/>
      <c r="AH1061" s="1346"/>
      <c r="AI1061" s="1346"/>
      <c r="AJ1061" s="1346"/>
      <c r="AK1061" s="1346"/>
      <c r="AL1061" s="1346"/>
      <c r="AM1061" s="1346"/>
      <c r="AN1061" s="1346"/>
      <c r="AO1061" s="1346"/>
      <c r="AP1061" s="1346"/>
      <c r="AQ1061" s="1346"/>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1" t="s">
        <v>591</v>
      </c>
      <c r="B1065" s="1331"/>
      <c r="C1065" s="1332">
        <v>1</v>
      </c>
      <c r="D1065" s="1332"/>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2"/>
      <c r="D1066" s="1332"/>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1" t="s">
        <v>591</v>
      </c>
      <c r="B1067" s="1331"/>
      <c r="C1067" s="1332">
        <v>2</v>
      </c>
      <c r="D1067" s="1332"/>
      <c r="E1067" s="1335" t="s">
        <v>2238</v>
      </c>
      <c r="F1067" s="1335"/>
      <c r="G1067" s="1335"/>
      <c r="H1067" s="1335"/>
      <c r="I1067" s="1335"/>
      <c r="J1067" s="1335"/>
      <c r="K1067" s="1335"/>
      <c r="L1067" s="1335"/>
      <c r="M1067" s="1335"/>
      <c r="N1067" s="1335"/>
      <c r="O1067" s="1335"/>
      <c r="P1067" s="1335"/>
      <c r="Q1067" s="1335"/>
      <c r="R1067" s="1335"/>
      <c r="S1067" s="1335"/>
      <c r="T1067" s="1335"/>
      <c r="U1067" s="1335"/>
      <c r="V1067" s="1335"/>
      <c r="W1067" s="1335"/>
      <c r="X1067" s="1335"/>
      <c r="Y1067" s="1335"/>
      <c r="Z1067" s="1335"/>
      <c r="AA1067" s="1335"/>
      <c r="AB1067" s="1335"/>
      <c r="AC1067" s="1335"/>
      <c r="AD1067" s="1335"/>
      <c r="AE1067" s="1335"/>
      <c r="AF1067" s="1335"/>
      <c r="AG1067" s="1335"/>
      <c r="AH1067" s="1335"/>
      <c r="AI1067" s="1335"/>
      <c r="AJ1067" s="1335"/>
      <c r="AK1067" s="1335"/>
      <c r="AL1067" s="1335"/>
      <c r="AM1067" s="1335"/>
      <c r="AN1067" s="1335"/>
      <c r="AO1067" s="1335"/>
      <c r="AP1067" s="1335"/>
      <c r="AQ1067" s="1335"/>
      <c r="AR1067" s="1335"/>
      <c r="AS1067" s="14"/>
      <c r="AT1067" s="14"/>
      <c r="AV1067" s="68"/>
      <c r="AW1067" s="68"/>
      <c r="AX1067" s="68"/>
      <c r="AY1067" s="68"/>
    </row>
    <row r="1068" spans="1:54" ht="12.95" customHeight="1">
      <c r="A1068" s="198"/>
      <c r="B1068" s="67"/>
      <c r="C1068" s="1332"/>
      <c r="D1068" s="1332"/>
      <c r="E1068" s="1335"/>
      <c r="F1068" s="1335"/>
      <c r="G1068" s="1335"/>
      <c r="H1068" s="1335"/>
      <c r="I1068" s="1335"/>
      <c r="J1068" s="1335"/>
      <c r="K1068" s="1335"/>
      <c r="L1068" s="1335"/>
      <c r="M1068" s="1335"/>
      <c r="N1068" s="1335"/>
      <c r="O1068" s="1335"/>
      <c r="P1068" s="1335"/>
      <c r="Q1068" s="1335"/>
      <c r="R1068" s="1335"/>
      <c r="S1068" s="1335"/>
      <c r="T1068" s="1335"/>
      <c r="U1068" s="1335"/>
      <c r="V1068" s="1335"/>
      <c r="W1068" s="1335"/>
      <c r="X1068" s="1335"/>
      <c r="Y1068" s="1335"/>
      <c r="Z1068" s="1335"/>
      <c r="AA1068" s="1335"/>
      <c r="AB1068" s="1335"/>
      <c r="AC1068" s="1335"/>
      <c r="AD1068" s="1335"/>
      <c r="AE1068" s="1335"/>
      <c r="AF1068" s="1335"/>
      <c r="AG1068" s="1335"/>
      <c r="AH1068" s="1335"/>
      <c r="AI1068" s="1335"/>
      <c r="AJ1068" s="1335"/>
      <c r="AK1068" s="1335"/>
      <c r="AL1068" s="1335"/>
      <c r="AM1068" s="1335"/>
      <c r="AN1068" s="1335"/>
      <c r="AO1068" s="1335"/>
      <c r="AP1068" s="1335"/>
      <c r="AQ1068" s="1335"/>
      <c r="AR1068" s="1335"/>
      <c r="AS1068" s="14"/>
      <c r="AT1068" s="14"/>
      <c r="AV1068" s="68"/>
      <c r="AW1068" s="68"/>
      <c r="AX1068" s="68"/>
      <c r="AY1068" s="68"/>
    </row>
    <row r="1069" spans="1:54" ht="12.95" customHeight="1">
      <c r="A1069" s="198"/>
      <c r="B1069" s="67"/>
      <c r="C1069" s="1332"/>
      <c r="D1069" s="1332"/>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1" t="s">
        <v>591</v>
      </c>
      <c r="B1070" s="1331"/>
      <c r="C1070" s="1334">
        <v>3</v>
      </c>
      <c r="D1070" s="1334"/>
      <c r="E1070" s="1291" t="s">
        <v>1079</v>
      </c>
      <c r="F1070" s="1291"/>
      <c r="G1070" s="1291"/>
      <c r="H1070" s="1291"/>
      <c r="I1070" s="1291"/>
      <c r="J1070" s="1291"/>
      <c r="K1070" s="1291"/>
      <c r="L1070" s="1291"/>
      <c r="M1070" s="1291"/>
      <c r="N1070" s="1291"/>
      <c r="O1070" s="1291"/>
      <c r="P1070" s="1291"/>
      <c r="Q1070" s="1291"/>
      <c r="R1070" s="1291"/>
      <c r="S1070" s="1291"/>
      <c r="T1070" s="1291"/>
      <c r="U1070" s="1291"/>
      <c r="V1070" s="1291"/>
      <c r="W1070" s="1291"/>
      <c r="X1070" s="1291"/>
      <c r="Y1070" s="1291"/>
      <c r="Z1070" s="1291"/>
      <c r="AA1070" s="1291"/>
      <c r="AB1070" s="1291"/>
      <c r="AC1070" s="1291"/>
      <c r="AD1070" s="1291"/>
      <c r="AE1070" s="1291"/>
      <c r="AF1070" s="1291"/>
      <c r="AG1070" s="1291"/>
      <c r="AH1070" s="1291"/>
      <c r="AI1070" s="1291"/>
      <c r="AJ1070" s="1291"/>
      <c r="AK1070" s="1291"/>
      <c r="AL1070" s="1291"/>
      <c r="AM1070" s="1291"/>
      <c r="AN1070" s="1291"/>
      <c r="AO1070" s="1291"/>
      <c r="AP1070" s="1291"/>
      <c r="AQ1070" s="1291"/>
      <c r="AR1070" s="1291"/>
      <c r="AS1070" s="14"/>
      <c r="AT1070" s="68"/>
      <c r="AV1070" s="68"/>
      <c r="AW1070" s="68"/>
      <c r="AX1070" s="68"/>
      <c r="AY1070" s="68"/>
    </row>
    <row r="1071" spans="1:54" ht="12.95" customHeight="1">
      <c r="A1071" s="1"/>
      <c r="B1071" s="1"/>
      <c r="C1071" s="1334"/>
      <c r="D1071" s="1334"/>
      <c r="E1071" s="1291"/>
      <c r="F1071" s="1291"/>
      <c r="G1071" s="1291"/>
      <c r="H1071" s="1291"/>
      <c r="I1071" s="1291"/>
      <c r="J1071" s="1291"/>
      <c r="K1071" s="1291"/>
      <c r="L1071" s="1291"/>
      <c r="M1071" s="1291"/>
      <c r="N1071" s="1291"/>
      <c r="O1071" s="1291"/>
      <c r="P1071" s="1291"/>
      <c r="Q1071" s="1291"/>
      <c r="R1071" s="1291"/>
      <c r="S1071" s="1291"/>
      <c r="T1071" s="1291"/>
      <c r="U1071" s="1291"/>
      <c r="V1071" s="1291"/>
      <c r="W1071" s="1291"/>
      <c r="X1071" s="1291"/>
      <c r="Y1071" s="1291"/>
      <c r="Z1071" s="1291"/>
      <c r="AA1071" s="1291"/>
      <c r="AB1071" s="1291"/>
      <c r="AC1071" s="1291"/>
      <c r="AD1071" s="1291"/>
      <c r="AE1071" s="1291"/>
      <c r="AF1071" s="1291"/>
      <c r="AG1071" s="1291"/>
      <c r="AH1071" s="1291"/>
      <c r="AI1071" s="1291"/>
      <c r="AJ1071" s="1291"/>
      <c r="AK1071" s="1291"/>
      <c r="AL1071" s="1291"/>
      <c r="AM1071" s="1291"/>
      <c r="AN1071" s="1291"/>
      <c r="AO1071" s="1291"/>
      <c r="AP1071" s="1291"/>
      <c r="AQ1071" s="1291"/>
      <c r="AR1071" s="1291"/>
      <c r="AS1071" s="14"/>
      <c r="AT1071" s="68"/>
      <c r="AV1071" s="68"/>
      <c r="AW1071" s="68"/>
      <c r="AX1071" s="68"/>
      <c r="AY1071" s="68"/>
    </row>
    <row r="1072" spans="1:54" ht="12.95" customHeight="1">
      <c r="A1072" s="1"/>
      <c r="B1072" s="1"/>
      <c r="C1072" s="1334"/>
      <c r="D1072" s="1334"/>
      <c r="E1072" s="1291"/>
      <c r="F1072" s="1291"/>
      <c r="G1072" s="1291"/>
      <c r="H1072" s="1291"/>
      <c r="I1072" s="1291"/>
      <c r="J1072" s="1291"/>
      <c r="K1072" s="1291"/>
      <c r="L1072" s="1291"/>
      <c r="M1072" s="1291"/>
      <c r="N1072" s="1291"/>
      <c r="O1072" s="1291"/>
      <c r="P1072" s="1291"/>
      <c r="Q1072" s="1291"/>
      <c r="R1072" s="1291"/>
      <c r="S1072" s="1291"/>
      <c r="T1072" s="1291"/>
      <c r="U1072" s="1291"/>
      <c r="V1072" s="1291"/>
      <c r="W1072" s="1291"/>
      <c r="X1072" s="1291"/>
      <c r="Y1072" s="1291"/>
      <c r="Z1072" s="1291"/>
      <c r="AA1072" s="1291"/>
      <c r="AB1072" s="1291"/>
      <c r="AC1072" s="1291"/>
      <c r="AD1072" s="1291"/>
      <c r="AE1072" s="1291"/>
      <c r="AF1072" s="1291"/>
      <c r="AG1072" s="1291"/>
      <c r="AH1072" s="1291"/>
      <c r="AI1072" s="1291"/>
      <c r="AJ1072" s="1291"/>
      <c r="AK1072" s="1291"/>
      <c r="AL1072" s="1291"/>
      <c r="AM1072" s="1291"/>
      <c r="AN1072" s="1291"/>
      <c r="AO1072" s="1291"/>
      <c r="AP1072" s="1291"/>
      <c r="AQ1072" s="1291"/>
      <c r="AR1072" s="1291"/>
      <c r="AS1072" s="14"/>
      <c r="AT1072" s="68"/>
      <c r="AV1072" s="68"/>
      <c r="AW1072" s="68"/>
      <c r="AX1072" s="68"/>
      <c r="AY1072" s="68"/>
    </row>
    <row r="1073" spans="1:51" ht="12.95" customHeight="1">
      <c r="A1073" s="1"/>
      <c r="B1073" s="1"/>
      <c r="C1073" s="1334"/>
      <c r="D1073" s="1334"/>
      <c r="E1073" s="1291"/>
      <c r="F1073" s="1291"/>
      <c r="G1073" s="1291"/>
      <c r="H1073" s="1291"/>
      <c r="I1073" s="1291"/>
      <c r="J1073" s="1291"/>
      <c r="K1073" s="1291"/>
      <c r="L1073" s="1291"/>
      <c r="M1073" s="1291"/>
      <c r="N1073" s="1291"/>
      <c r="O1073" s="1291"/>
      <c r="P1073" s="1291"/>
      <c r="Q1073" s="1291"/>
      <c r="R1073" s="1291"/>
      <c r="S1073" s="1291"/>
      <c r="T1073" s="1291"/>
      <c r="U1073" s="1291"/>
      <c r="V1073" s="1291"/>
      <c r="W1073" s="1291"/>
      <c r="X1073" s="1291"/>
      <c r="Y1073" s="1291"/>
      <c r="Z1073" s="1291"/>
      <c r="AA1073" s="1291"/>
      <c r="AB1073" s="1291"/>
      <c r="AC1073" s="1291"/>
      <c r="AD1073" s="1291"/>
      <c r="AE1073" s="1291"/>
      <c r="AF1073" s="1291"/>
      <c r="AG1073" s="1291"/>
      <c r="AH1073" s="1291"/>
      <c r="AI1073" s="1291"/>
      <c r="AJ1073" s="1291"/>
      <c r="AK1073" s="1291"/>
      <c r="AL1073" s="1291"/>
      <c r="AM1073" s="1291"/>
      <c r="AN1073" s="1291"/>
      <c r="AO1073" s="1291"/>
      <c r="AP1073" s="1291"/>
      <c r="AQ1073" s="1291"/>
      <c r="AR1073" s="1291"/>
      <c r="AS1073" s="14"/>
      <c r="AT1073" s="68"/>
      <c r="AV1073" s="68"/>
      <c r="AW1073" s="68"/>
      <c r="AX1073" s="68"/>
      <c r="AY1073" s="68"/>
    </row>
    <row r="1074" spans="1:51" ht="12.95" customHeight="1">
      <c r="A1074" s="2"/>
      <c r="B1074" s="25"/>
      <c r="C1074" s="1334"/>
      <c r="D1074" s="1334"/>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1" t="s">
        <v>591</v>
      </c>
      <c r="B1075" s="1331"/>
      <c r="C1075" s="1334">
        <v>4</v>
      </c>
      <c r="D1075" s="1334"/>
      <c r="E1075" s="1291" t="s">
        <v>1078</v>
      </c>
      <c r="F1075" s="1291"/>
      <c r="G1075" s="1291"/>
      <c r="H1075" s="1291"/>
      <c r="I1075" s="1291"/>
      <c r="J1075" s="1291"/>
      <c r="K1075" s="1291"/>
      <c r="L1075" s="1291"/>
      <c r="M1075" s="1291"/>
      <c r="N1075" s="1291"/>
      <c r="O1075" s="1291"/>
      <c r="P1075" s="1291"/>
      <c r="Q1075" s="1291"/>
      <c r="R1075" s="1291"/>
      <c r="S1075" s="1291"/>
      <c r="T1075" s="1291"/>
      <c r="U1075" s="1291"/>
      <c r="V1075" s="1291"/>
      <c r="W1075" s="1291"/>
      <c r="X1075" s="1291"/>
      <c r="Y1075" s="1291"/>
      <c r="Z1075" s="1291"/>
      <c r="AA1075" s="1291"/>
      <c r="AB1075" s="1291"/>
      <c r="AC1075" s="1291"/>
      <c r="AD1075" s="1291"/>
      <c r="AE1075" s="1291"/>
      <c r="AF1075" s="1291"/>
      <c r="AG1075" s="1291"/>
      <c r="AH1075" s="1291"/>
      <c r="AI1075" s="1291"/>
      <c r="AJ1075" s="1291"/>
      <c r="AK1075" s="1291"/>
      <c r="AL1075" s="1291"/>
      <c r="AM1075" s="1291"/>
      <c r="AN1075" s="1291"/>
      <c r="AO1075" s="1291"/>
      <c r="AP1075" s="1291"/>
      <c r="AQ1075" s="1291"/>
      <c r="AR1075" s="1291"/>
      <c r="AS1075" s="14"/>
      <c r="AT1075" s="68"/>
    </row>
    <row r="1076" spans="1:51" ht="12.95" customHeight="1">
      <c r="A1076" s="1"/>
      <c r="B1076" s="1"/>
      <c r="C1076" s="1334"/>
      <c r="D1076" s="1334"/>
      <c r="E1076" s="1291"/>
      <c r="F1076" s="1291"/>
      <c r="G1076" s="1291"/>
      <c r="H1076" s="1291"/>
      <c r="I1076" s="1291"/>
      <c r="J1076" s="1291"/>
      <c r="K1076" s="1291"/>
      <c r="L1076" s="1291"/>
      <c r="M1076" s="1291"/>
      <c r="N1076" s="1291"/>
      <c r="O1076" s="1291"/>
      <c r="P1076" s="1291"/>
      <c r="Q1076" s="1291"/>
      <c r="R1076" s="1291"/>
      <c r="S1076" s="1291"/>
      <c r="T1076" s="1291"/>
      <c r="U1076" s="1291"/>
      <c r="V1076" s="1291"/>
      <c r="W1076" s="1291"/>
      <c r="X1076" s="1291"/>
      <c r="Y1076" s="1291"/>
      <c r="Z1076" s="1291"/>
      <c r="AA1076" s="1291"/>
      <c r="AB1076" s="1291"/>
      <c r="AC1076" s="1291"/>
      <c r="AD1076" s="1291"/>
      <c r="AE1076" s="1291"/>
      <c r="AF1076" s="1291"/>
      <c r="AG1076" s="1291"/>
      <c r="AH1076" s="1291"/>
      <c r="AI1076" s="1291"/>
      <c r="AJ1076" s="1291"/>
      <c r="AK1076" s="1291"/>
      <c r="AL1076" s="1291"/>
      <c r="AM1076" s="1291"/>
      <c r="AN1076" s="1291"/>
      <c r="AO1076" s="1291"/>
      <c r="AP1076" s="1291"/>
      <c r="AQ1076" s="1291"/>
      <c r="AR1076" s="1291"/>
      <c r="AS1076" s="14"/>
      <c r="AT1076" s="68"/>
    </row>
    <row r="1077" spans="1:51" ht="12.95" customHeight="1">
      <c r="A1077" s="1"/>
      <c r="B1077" s="1"/>
      <c r="C1077" s="1334"/>
      <c r="D1077" s="1334"/>
      <c r="E1077" s="1291"/>
      <c r="F1077" s="1291"/>
      <c r="G1077" s="1291"/>
      <c r="H1077" s="1291"/>
      <c r="I1077" s="1291"/>
      <c r="J1077" s="1291"/>
      <c r="K1077" s="1291"/>
      <c r="L1077" s="1291"/>
      <c r="M1077" s="1291"/>
      <c r="N1077" s="1291"/>
      <c r="O1077" s="1291"/>
      <c r="P1077" s="1291"/>
      <c r="Q1077" s="1291"/>
      <c r="R1077" s="1291"/>
      <c r="S1077" s="1291"/>
      <c r="T1077" s="1291"/>
      <c r="U1077" s="1291"/>
      <c r="V1077" s="1291"/>
      <c r="W1077" s="1291"/>
      <c r="X1077" s="1291"/>
      <c r="Y1077" s="1291"/>
      <c r="Z1077" s="1291"/>
      <c r="AA1077" s="1291"/>
      <c r="AB1077" s="1291"/>
      <c r="AC1077" s="1291"/>
      <c r="AD1077" s="1291"/>
      <c r="AE1077" s="1291"/>
      <c r="AF1077" s="1291"/>
      <c r="AG1077" s="1291"/>
      <c r="AH1077" s="1291"/>
      <c r="AI1077" s="1291"/>
      <c r="AJ1077" s="1291"/>
      <c r="AK1077" s="1291"/>
      <c r="AL1077" s="1291"/>
      <c r="AM1077" s="1291"/>
      <c r="AN1077" s="1291"/>
      <c r="AO1077" s="1291"/>
      <c r="AP1077" s="1291"/>
      <c r="AQ1077" s="1291"/>
      <c r="AR1077" s="1291"/>
      <c r="AS1077" s="14"/>
      <c r="AT1077" s="68"/>
    </row>
    <row r="1078" spans="1:51" ht="12.95" customHeight="1">
      <c r="A1078" s="1"/>
      <c r="B1078" s="1"/>
      <c r="C1078" s="1334"/>
      <c r="D1078" s="1334"/>
      <c r="E1078" s="1291"/>
      <c r="F1078" s="1291"/>
      <c r="G1078" s="1291"/>
      <c r="H1078" s="1291"/>
      <c r="I1078" s="1291"/>
      <c r="J1078" s="1291"/>
      <c r="K1078" s="1291"/>
      <c r="L1078" s="1291"/>
      <c r="M1078" s="1291"/>
      <c r="N1078" s="1291"/>
      <c r="O1078" s="1291"/>
      <c r="P1078" s="1291"/>
      <c r="Q1078" s="1291"/>
      <c r="R1078" s="1291"/>
      <c r="S1078" s="1291"/>
      <c r="T1078" s="1291"/>
      <c r="U1078" s="1291"/>
      <c r="V1078" s="1291"/>
      <c r="W1078" s="1291"/>
      <c r="X1078" s="1291"/>
      <c r="Y1078" s="1291"/>
      <c r="Z1078" s="1291"/>
      <c r="AA1078" s="1291"/>
      <c r="AB1078" s="1291"/>
      <c r="AC1078" s="1291"/>
      <c r="AD1078" s="1291"/>
      <c r="AE1078" s="1291"/>
      <c r="AF1078" s="1291"/>
      <c r="AG1078" s="1291"/>
      <c r="AH1078" s="1291"/>
      <c r="AI1078" s="1291"/>
      <c r="AJ1078" s="1291"/>
      <c r="AK1078" s="1291"/>
      <c r="AL1078" s="1291"/>
      <c r="AM1078" s="1291"/>
      <c r="AN1078" s="1291"/>
      <c r="AO1078" s="1291"/>
      <c r="AP1078" s="1291"/>
      <c r="AQ1078" s="1291"/>
      <c r="AR1078" s="1291"/>
      <c r="AS1078" s="14"/>
      <c r="AT1078" s="68"/>
    </row>
    <row r="1079" spans="1:51" ht="12.95" customHeight="1">
      <c r="A1079" s="1"/>
      <c r="B1079" s="1"/>
      <c r="C1079" s="1334"/>
      <c r="D1079" s="1334"/>
      <c r="E1079" s="1291"/>
      <c r="F1079" s="1291"/>
      <c r="G1079" s="1291"/>
      <c r="H1079" s="1291"/>
      <c r="I1079" s="1291"/>
      <c r="J1079" s="1291"/>
      <c r="K1079" s="1291"/>
      <c r="L1079" s="1291"/>
      <c r="M1079" s="1291"/>
      <c r="N1079" s="1291"/>
      <c r="O1079" s="1291"/>
      <c r="P1079" s="1291"/>
      <c r="Q1079" s="1291"/>
      <c r="R1079" s="1291"/>
      <c r="S1079" s="1291"/>
      <c r="T1079" s="1291"/>
      <c r="U1079" s="1291"/>
      <c r="V1079" s="1291"/>
      <c r="W1079" s="1291"/>
      <c r="X1079" s="1291"/>
      <c r="Y1079" s="1291"/>
      <c r="Z1079" s="1291"/>
      <c r="AA1079" s="1291"/>
      <c r="AB1079" s="1291"/>
      <c r="AC1079" s="1291"/>
      <c r="AD1079" s="1291"/>
      <c r="AE1079" s="1291"/>
      <c r="AF1079" s="1291"/>
      <c r="AG1079" s="1291"/>
      <c r="AH1079" s="1291"/>
      <c r="AI1079" s="1291"/>
      <c r="AJ1079" s="1291"/>
      <c r="AK1079" s="1291"/>
      <c r="AL1079" s="1291"/>
      <c r="AM1079" s="1291"/>
      <c r="AN1079" s="1291"/>
      <c r="AO1079" s="1291"/>
      <c r="AP1079" s="1291"/>
      <c r="AQ1079" s="1291"/>
      <c r="AR1079" s="1291"/>
      <c r="AS1079" s="14"/>
      <c r="AT1079" s="68"/>
    </row>
    <row r="1080" spans="1:51" ht="12.95" customHeight="1">
      <c r="A1080" s="1"/>
      <c r="B1080" s="1"/>
      <c r="C1080" s="1334"/>
      <c r="D1080" s="1334"/>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1" t="s">
        <v>591</v>
      </c>
      <c r="B1081" s="1331"/>
      <c r="C1081" s="1334">
        <v>5</v>
      </c>
      <c r="D1081" s="1334"/>
      <c r="E1081" s="1291" t="s">
        <v>2242</v>
      </c>
      <c r="F1081" s="1291"/>
      <c r="G1081" s="1291"/>
      <c r="H1081" s="1291"/>
      <c r="I1081" s="1291"/>
      <c r="J1081" s="1291"/>
      <c r="K1081" s="1291"/>
      <c r="L1081" s="1291"/>
      <c r="M1081" s="1291"/>
      <c r="N1081" s="1291"/>
      <c r="O1081" s="1291"/>
      <c r="P1081" s="1291"/>
      <c r="Q1081" s="1291"/>
      <c r="R1081" s="1291"/>
      <c r="S1081" s="1291"/>
      <c r="T1081" s="1291"/>
      <c r="U1081" s="1291"/>
      <c r="V1081" s="1291"/>
      <c r="W1081" s="1291"/>
      <c r="X1081" s="1291"/>
      <c r="Y1081" s="1291"/>
      <c r="Z1081" s="1291"/>
      <c r="AA1081" s="1291"/>
      <c r="AB1081" s="1291"/>
      <c r="AC1081" s="1291"/>
      <c r="AD1081" s="1291"/>
      <c r="AE1081" s="1291"/>
      <c r="AF1081" s="1291"/>
      <c r="AG1081" s="1291"/>
      <c r="AH1081" s="1291"/>
      <c r="AI1081" s="1291"/>
      <c r="AJ1081" s="1291"/>
      <c r="AK1081" s="1291"/>
      <c r="AL1081" s="1291"/>
      <c r="AM1081" s="1291"/>
      <c r="AN1081" s="1291"/>
      <c r="AO1081" s="1291"/>
      <c r="AP1081" s="1291"/>
      <c r="AQ1081" s="1291"/>
      <c r="AR1081" s="1291"/>
      <c r="AS1081" s="14"/>
    </row>
    <row r="1082" spans="1:51" ht="12.95" customHeight="1">
      <c r="A1082" s="4"/>
      <c r="B1082" s="4"/>
      <c r="C1082" s="1334"/>
      <c r="D1082" s="1334"/>
      <c r="E1082" s="1291"/>
      <c r="F1082" s="1291"/>
      <c r="G1082" s="1291"/>
      <c r="H1082" s="1291"/>
      <c r="I1082" s="1291"/>
      <c r="J1082" s="1291"/>
      <c r="K1082" s="1291"/>
      <c r="L1082" s="1291"/>
      <c r="M1082" s="1291"/>
      <c r="N1082" s="1291"/>
      <c r="O1082" s="1291"/>
      <c r="P1082" s="1291"/>
      <c r="Q1082" s="1291"/>
      <c r="R1082" s="1291"/>
      <c r="S1082" s="1291"/>
      <c r="T1082" s="1291"/>
      <c r="U1082" s="1291"/>
      <c r="V1082" s="1291"/>
      <c r="W1082" s="1291"/>
      <c r="X1082" s="1291"/>
      <c r="Y1082" s="1291"/>
      <c r="Z1082" s="1291"/>
      <c r="AA1082" s="1291"/>
      <c r="AB1082" s="1291"/>
      <c r="AC1082" s="1291"/>
      <c r="AD1082" s="1291"/>
      <c r="AE1082" s="1291"/>
      <c r="AF1082" s="1291"/>
      <c r="AG1082" s="1291"/>
      <c r="AH1082" s="1291"/>
      <c r="AI1082" s="1291"/>
      <c r="AJ1082" s="1291"/>
      <c r="AK1082" s="1291"/>
      <c r="AL1082" s="1291"/>
      <c r="AM1082" s="1291"/>
      <c r="AN1082" s="1291"/>
      <c r="AO1082" s="1291"/>
      <c r="AP1082" s="1291"/>
      <c r="AQ1082" s="1291"/>
      <c r="AR1082" s="1291"/>
      <c r="AS1082" s="14"/>
    </row>
    <row r="1083" spans="1:51" ht="12.95" customHeight="1">
      <c r="A1083" s="4"/>
      <c r="B1083" s="4"/>
      <c r="C1083" s="1334"/>
      <c r="D1083" s="1334"/>
      <c r="E1083" s="1291"/>
      <c r="F1083" s="1291"/>
      <c r="G1083" s="1291"/>
      <c r="H1083" s="1291"/>
      <c r="I1083" s="1291"/>
      <c r="J1083" s="1291"/>
      <c r="K1083" s="1291"/>
      <c r="L1083" s="1291"/>
      <c r="M1083" s="1291"/>
      <c r="N1083" s="1291"/>
      <c r="O1083" s="1291"/>
      <c r="P1083" s="1291"/>
      <c r="Q1083" s="1291"/>
      <c r="R1083" s="1291"/>
      <c r="S1083" s="1291"/>
      <c r="T1083" s="1291"/>
      <c r="U1083" s="1291"/>
      <c r="V1083" s="1291"/>
      <c r="W1083" s="1291"/>
      <c r="X1083" s="1291"/>
      <c r="Y1083" s="1291"/>
      <c r="Z1083" s="1291"/>
      <c r="AA1083" s="1291"/>
      <c r="AB1083" s="1291"/>
      <c r="AC1083" s="1291"/>
      <c r="AD1083" s="1291"/>
      <c r="AE1083" s="1291"/>
      <c r="AF1083" s="1291"/>
      <c r="AG1083" s="1291"/>
      <c r="AH1083" s="1291"/>
      <c r="AI1083" s="1291"/>
      <c r="AJ1083" s="1291"/>
      <c r="AK1083" s="1291"/>
      <c r="AL1083" s="1291"/>
      <c r="AM1083" s="1291"/>
      <c r="AN1083" s="1291"/>
      <c r="AO1083" s="1291"/>
      <c r="AP1083" s="1291"/>
      <c r="AQ1083" s="1291"/>
      <c r="AR1083" s="1291"/>
      <c r="AS1083" s="14"/>
    </row>
    <row r="1084" spans="1:51" ht="12.95" customHeight="1">
      <c r="A1084" s="35"/>
      <c r="B1084" s="25"/>
      <c r="C1084" s="1334"/>
      <c r="D1084" s="1334"/>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1" t="s">
        <v>591</v>
      </c>
      <c r="B1085" s="1331"/>
      <c r="C1085" s="1334">
        <v>6</v>
      </c>
      <c r="D1085" s="1334"/>
      <c r="E1085" s="1291" t="s">
        <v>2243</v>
      </c>
      <c r="F1085" s="1291"/>
      <c r="G1085" s="1291"/>
      <c r="H1085" s="1291"/>
      <c r="I1085" s="1291"/>
      <c r="J1085" s="1291"/>
      <c r="K1085" s="1291"/>
      <c r="L1085" s="1291"/>
      <c r="M1085" s="1291"/>
      <c r="N1085" s="1291"/>
      <c r="O1085" s="1291"/>
      <c r="P1085" s="1291"/>
      <c r="Q1085" s="1291"/>
      <c r="R1085" s="1291"/>
      <c r="S1085" s="1291"/>
      <c r="T1085" s="1291"/>
      <c r="U1085" s="1291"/>
      <c r="V1085" s="1291"/>
      <c r="W1085" s="1291"/>
      <c r="X1085" s="1291"/>
      <c r="Y1085" s="1291"/>
      <c r="Z1085" s="1291"/>
      <c r="AA1085" s="1291"/>
      <c r="AB1085" s="1291"/>
      <c r="AC1085" s="1291"/>
      <c r="AD1085" s="1291"/>
      <c r="AE1085" s="1291"/>
      <c r="AF1085" s="1291"/>
      <c r="AG1085" s="1291"/>
      <c r="AH1085" s="1291"/>
      <c r="AI1085" s="1291"/>
      <c r="AJ1085" s="1291"/>
      <c r="AK1085" s="1291"/>
      <c r="AL1085" s="1291"/>
      <c r="AM1085" s="1291"/>
      <c r="AN1085" s="1291"/>
      <c r="AO1085" s="1291"/>
      <c r="AP1085" s="1291"/>
      <c r="AQ1085" s="1291"/>
      <c r="AR1085" s="1291"/>
      <c r="AS1085" s="14"/>
    </row>
    <row r="1086" spans="1:51" ht="12.95" customHeight="1">
      <c r="A1086" s="1"/>
      <c r="B1086" s="1"/>
      <c r="C1086" s="1"/>
      <c r="D1086" s="1"/>
      <c r="E1086" s="1291"/>
      <c r="F1086" s="1291"/>
      <c r="G1086" s="1291"/>
      <c r="H1086" s="1291"/>
      <c r="I1086" s="1291"/>
      <c r="J1086" s="1291"/>
      <c r="K1086" s="1291"/>
      <c r="L1086" s="1291"/>
      <c r="M1086" s="1291"/>
      <c r="N1086" s="1291"/>
      <c r="O1086" s="1291"/>
      <c r="P1086" s="1291"/>
      <c r="Q1086" s="1291"/>
      <c r="R1086" s="1291"/>
      <c r="S1086" s="1291"/>
      <c r="T1086" s="1291"/>
      <c r="U1086" s="1291"/>
      <c r="V1086" s="1291"/>
      <c r="W1086" s="1291"/>
      <c r="X1086" s="1291"/>
      <c r="Y1086" s="1291"/>
      <c r="Z1086" s="1291"/>
      <c r="AA1086" s="1291"/>
      <c r="AB1086" s="1291"/>
      <c r="AC1086" s="1291"/>
      <c r="AD1086" s="1291"/>
      <c r="AE1086" s="1291"/>
      <c r="AF1086" s="1291"/>
      <c r="AG1086" s="1291"/>
      <c r="AH1086" s="1291"/>
      <c r="AI1086" s="1291"/>
      <c r="AJ1086" s="1291"/>
      <c r="AK1086" s="1291"/>
      <c r="AL1086" s="1291"/>
      <c r="AM1086" s="1291"/>
      <c r="AN1086" s="1291"/>
      <c r="AO1086" s="1291"/>
      <c r="AP1086" s="1291"/>
      <c r="AQ1086" s="1291"/>
      <c r="AR1086" s="1291"/>
      <c r="AS1086" s="14"/>
    </row>
    <row r="1087" spans="1:51" ht="12.95" customHeight="1">
      <c r="A1087" s="1"/>
      <c r="B1087" s="1"/>
      <c r="C1087" s="1334"/>
      <c r="D1087" s="1334"/>
      <c r="E1087" s="1291"/>
      <c r="F1087" s="1291"/>
      <c r="G1087" s="1291"/>
      <c r="H1087" s="1291"/>
      <c r="I1087" s="1291"/>
      <c r="J1087" s="1291"/>
      <c r="K1087" s="1291"/>
      <c r="L1087" s="1291"/>
      <c r="M1087" s="1291"/>
      <c r="N1087" s="1291"/>
      <c r="O1087" s="1291"/>
      <c r="P1087" s="1291"/>
      <c r="Q1087" s="1291"/>
      <c r="R1087" s="1291"/>
      <c r="S1087" s="1291"/>
      <c r="T1087" s="1291"/>
      <c r="U1087" s="1291"/>
      <c r="V1087" s="1291"/>
      <c r="W1087" s="1291"/>
      <c r="X1087" s="1291"/>
      <c r="Y1087" s="1291"/>
      <c r="Z1087" s="1291"/>
      <c r="AA1087" s="1291"/>
      <c r="AB1087" s="1291"/>
      <c r="AC1087" s="1291"/>
      <c r="AD1087" s="1291"/>
      <c r="AE1087" s="1291"/>
      <c r="AF1087" s="1291"/>
      <c r="AG1087" s="1291"/>
      <c r="AH1087" s="1291"/>
      <c r="AI1087" s="1291"/>
      <c r="AJ1087" s="1291"/>
      <c r="AK1087" s="1291"/>
      <c r="AL1087" s="1291"/>
      <c r="AM1087" s="1291"/>
      <c r="AN1087" s="1291"/>
      <c r="AO1087" s="1291"/>
      <c r="AP1087" s="1291"/>
      <c r="AQ1087" s="1291"/>
      <c r="AR1087" s="1291"/>
      <c r="AS1087" s="14"/>
    </row>
    <row r="1088" spans="1:51" ht="12.95" customHeight="1">
      <c r="A1088" s="35"/>
      <c r="B1088" s="25"/>
      <c r="C1088" s="1334"/>
      <c r="D1088" s="1334"/>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1" t="s">
        <v>591</v>
      </c>
      <c r="B1089" s="1331"/>
      <c r="C1089" s="1334">
        <v>7</v>
      </c>
      <c r="D1089" s="1334"/>
      <c r="E1089" s="1291" t="s">
        <v>2138</v>
      </c>
      <c r="F1089" s="1291"/>
      <c r="G1089" s="1291"/>
      <c r="H1089" s="1291"/>
      <c r="I1089" s="1291"/>
      <c r="J1089" s="1291"/>
      <c r="K1089" s="1291"/>
      <c r="L1089" s="1291"/>
      <c r="M1089" s="1291"/>
      <c r="N1089" s="1291"/>
      <c r="O1089" s="1291"/>
      <c r="P1089" s="1291"/>
      <c r="Q1089" s="1291"/>
      <c r="R1089" s="1291"/>
      <c r="S1089" s="1291"/>
      <c r="T1089" s="1291"/>
      <c r="U1089" s="1291"/>
      <c r="V1089" s="1291"/>
      <c r="W1089" s="1291"/>
      <c r="X1089" s="1291"/>
      <c r="Y1089" s="1291"/>
      <c r="Z1089" s="1291"/>
      <c r="AA1089" s="1291"/>
      <c r="AB1089" s="1291"/>
      <c r="AC1089" s="1291"/>
      <c r="AD1089" s="1291"/>
      <c r="AE1089" s="1291"/>
      <c r="AF1089" s="1291"/>
      <c r="AG1089" s="1291"/>
      <c r="AH1089" s="1291"/>
      <c r="AI1089" s="1291"/>
      <c r="AJ1089" s="1291"/>
      <c r="AK1089" s="1291"/>
      <c r="AL1089" s="1291"/>
      <c r="AM1089" s="1291"/>
      <c r="AN1089" s="1291"/>
      <c r="AO1089" s="1291"/>
      <c r="AP1089" s="1291"/>
      <c r="AQ1089" s="1291"/>
      <c r="AR1089" s="1291"/>
      <c r="AS1089" s="14"/>
    </row>
    <row r="1090" spans="1:45" ht="12.95" customHeight="1">
      <c r="A1090" s="1"/>
      <c r="B1090" s="1"/>
      <c r="C1090" s="1334"/>
      <c r="D1090" s="1334"/>
      <c r="E1090" s="1291"/>
      <c r="F1090" s="1291"/>
      <c r="G1090" s="1291"/>
      <c r="H1090" s="1291"/>
      <c r="I1090" s="1291"/>
      <c r="J1090" s="1291"/>
      <c r="K1090" s="1291"/>
      <c r="L1090" s="1291"/>
      <c r="M1090" s="1291"/>
      <c r="N1090" s="1291"/>
      <c r="O1090" s="1291"/>
      <c r="P1090" s="1291"/>
      <c r="Q1090" s="1291"/>
      <c r="R1090" s="1291"/>
      <c r="S1090" s="1291"/>
      <c r="T1090" s="1291"/>
      <c r="U1090" s="1291"/>
      <c r="V1090" s="1291"/>
      <c r="W1090" s="1291"/>
      <c r="X1090" s="1291"/>
      <c r="Y1090" s="1291"/>
      <c r="Z1090" s="1291"/>
      <c r="AA1090" s="1291"/>
      <c r="AB1090" s="1291"/>
      <c r="AC1090" s="1291"/>
      <c r="AD1090" s="1291"/>
      <c r="AE1090" s="1291"/>
      <c r="AF1090" s="1291"/>
      <c r="AG1090" s="1291"/>
      <c r="AH1090" s="1291"/>
      <c r="AI1090" s="1291"/>
      <c r="AJ1090" s="1291"/>
      <c r="AK1090" s="1291"/>
      <c r="AL1090" s="1291"/>
      <c r="AM1090" s="1291"/>
      <c r="AN1090" s="1291"/>
      <c r="AO1090" s="1291"/>
      <c r="AP1090" s="1291"/>
      <c r="AQ1090" s="1291"/>
      <c r="AR1090" s="1291"/>
      <c r="AS1090" s="14"/>
    </row>
    <row r="1091" spans="1:45" ht="12.95" customHeight="1">
      <c r="A1091" s="1"/>
      <c r="B1091" s="1"/>
      <c r="C1091" s="1334"/>
      <c r="D1091" s="1334"/>
      <c r="E1091" s="1291"/>
      <c r="F1091" s="1291"/>
      <c r="G1091" s="1291"/>
      <c r="H1091" s="1291"/>
      <c r="I1091" s="1291"/>
      <c r="J1091" s="1291"/>
      <c r="K1091" s="1291"/>
      <c r="L1091" s="1291"/>
      <c r="M1091" s="1291"/>
      <c r="N1091" s="1291"/>
      <c r="O1091" s="1291"/>
      <c r="P1091" s="1291"/>
      <c r="Q1091" s="1291"/>
      <c r="R1091" s="1291"/>
      <c r="S1091" s="1291"/>
      <c r="T1091" s="1291"/>
      <c r="U1091" s="1291"/>
      <c r="V1091" s="1291"/>
      <c r="W1091" s="1291"/>
      <c r="X1091" s="1291"/>
      <c r="Y1091" s="1291"/>
      <c r="Z1091" s="1291"/>
      <c r="AA1091" s="1291"/>
      <c r="AB1091" s="1291"/>
      <c r="AC1091" s="1291"/>
      <c r="AD1091" s="1291"/>
      <c r="AE1091" s="1291"/>
      <c r="AF1091" s="1291"/>
      <c r="AG1091" s="1291"/>
      <c r="AH1091" s="1291"/>
      <c r="AI1091" s="1291"/>
      <c r="AJ1091" s="1291"/>
      <c r="AK1091" s="1291"/>
      <c r="AL1091" s="1291"/>
      <c r="AM1091" s="1291"/>
      <c r="AN1091" s="1291"/>
      <c r="AO1091" s="1291"/>
      <c r="AP1091" s="1291"/>
      <c r="AQ1091" s="1291"/>
      <c r="AR1091" s="1291"/>
      <c r="AS1091" s="14"/>
    </row>
    <row r="1092" spans="1:45" ht="12.95" customHeight="1">
      <c r="A1092" s="1"/>
      <c r="B1092" s="1"/>
      <c r="C1092" s="1334"/>
      <c r="D1092" s="1334"/>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4"/>
      <c r="D1093" s="1334"/>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1" t="s">
        <v>591</v>
      </c>
      <c r="B1094" s="1331"/>
      <c r="C1094" s="1334">
        <v>8</v>
      </c>
      <c r="D1094" s="1334"/>
      <c r="E1094" s="1291" t="s">
        <v>1072</v>
      </c>
      <c r="F1094" s="1291"/>
      <c r="G1094" s="1291"/>
      <c r="H1094" s="1291"/>
      <c r="I1094" s="1291"/>
      <c r="J1094" s="1291"/>
      <c r="K1094" s="1291"/>
      <c r="L1094" s="1291"/>
      <c r="M1094" s="1291"/>
      <c r="N1094" s="1291"/>
      <c r="O1094" s="1291"/>
      <c r="P1094" s="1291"/>
      <c r="Q1094" s="1291"/>
      <c r="R1094" s="1291"/>
      <c r="S1094" s="1291"/>
      <c r="T1094" s="1291"/>
      <c r="U1094" s="1291"/>
      <c r="V1094" s="1291"/>
      <c r="W1094" s="1291"/>
      <c r="X1094" s="1291"/>
      <c r="Y1094" s="1291"/>
      <c r="Z1094" s="1291"/>
      <c r="AA1094" s="1291"/>
      <c r="AB1094" s="1291"/>
      <c r="AC1094" s="1291"/>
      <c r="AD1094" s="1291"/>
      <c r="AE1094" s="1291"/>
      <c r="AF1094" s="1291"/>
      <c r="AG1094" s="1291"/>
      <c r="AH1094" s="1291"/>
      <c r="AI1094" s="1291"/>
      <c r="AJ1094" s="1291"/>
      <c r="AK1094" s="1291"/>
      <c r="AL1094" s="1291"/>
      <c r="AM1094" s="1291"/>
      <c r="AN1094" s="1291"/>
      <c r="AO1094" s="1291"/>
      <c r="AP1094" s="1291"/>
      <c r="AQ1094" s="1291"/>
      <c r="AR1094" s="1291"/>
    </row>
    <row r="1095" spans="1:45" ht="12.95" customHeight="1">
      <c r="A1095" s="35"/>
      <c r="B1095" s="25"/>
      <c r="C1095" s="1334"/>
      <c r="D1095" s="1334"/>
      <c r="E1095" s="1291"/>
      <c r="F1095" s="1291"/>
      <c r="G1095" s="1291"/>
      <c r="H1095" s="1291"/>
      <c r="I1095" s="1291"/>
      <c r="J1095" s="1291"/>
      <c r="K1095" s="1291"/>
      <c r="L1095" s="1291"/>
      <c r="M1095" s="1291"/>
      <c r="N1095" s="1291"/>
      <c r="O1095" s="1291"/>
      <c r="P1095" s="1291"/>
      <c r="Q1095" s="1291"/>
      <c r="R1095" s="1291"/>
      <c r="S1095" s="1291"/>
      <c r="T1095" s="1291"/>
      <c r="U1095" s="1291"/>
      <c r="V1095" s="1291"/>
      <c r="W1095" s="1291"/>
      <c r="X1095" s="1291"/>
      <c r="Y1095" s="1291"/>
      <c r="Z1095" s="1291"/>
      <c r="AA1095" s="1291"/>
      <c r="AB1095" s="1291"/>
      <c r="AC1095" s="1291"/>
      <c r="AD1095" s="1291"/>
      <c r="AE1095" s="1291"/>
      <c r="AF1095" s="1291"/>
      <c r="AG1095" s="1291"/>
      <c r="AH1095" s="1291"/>
      <c r="AI1095" s="1291"/>
      <c r="AJ1095" s="1291"/>
      <c r="AK1095" s="1291"/>
      <c r="AL1095" s="1291"/>
      <c r="AM1095" s="1291"/>
      <c r="AN1095" s="1291"/>
      <c r="AO1095" s="1291"/>
      <c r="AP1095" s="1291"/>
      <c r="AQ1095" s="1291"/>
      <c r="AR1095" s="1291"/>
    </row>
    <row r="1096" spans="1:45" ht="12.95" customHeight="1">
      <c r="A1096" s="35"/>
      <c r="B1096" s="25"/>
      <c r="C1096" s="1334"/>
      <c r="D1096" s="1334"/>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1" t="s">
        <v>591</v>
      </c>
      <c r="B1097" s="1331"/>
      <c r="C1097" s="1332">
        <v>9</v>
      </c>
      <c r="D1097" s="1332"/>
      <c r="E1097" s="1291" t="s">
        <v>1074</v>
      </c>
      <c r="F1097" s="1291"/>
      <c r="G1097" s="1291"/>
      <c r="H1097" s="1291"/>
      <c r="I1097" s="1291"/>
      <c r="J1097" s="1291"/>
      <c r="K1097" s="1291"/>
      <c r="L1097" s="1291"/>
      <c r="M1097" s="1291"/>
      <c r="N1097" s="1291"/>
      <c r="O1097" s="1291"/>
      <c r="P1097" s="1291"/>
      <c r="Q1097" s="1291"/>
      <c r="R1097" s="1291"/>
      <c r="S1097" s="1291"/>
      <c r="T1097" s="1291"/>
      <c r="U1097" s="1291"/>
      <c r="V1097" s="1291"/>
      <c r="W1097" s="1291"/>
      <c r="X1097" s="1291"/>
      <c r="Y1097" s="1291"/>
      <c r="Z1097" s="1291"/>
      <c r="AA1097" s="1291"/>
      <c r="AB1097" s="1291"/>
      <c r="AC1097" s="1291"/>
      <c r="AD1097" s="1291"/>
      <c r="AE1097" s="1291"/>
      <c r="AF1097" s="1291"/>
      <c r="AG1097" s="1291"/>
      <c r="AH1097" s="1291"/>
      <c r="AI1097" s="1291"/>
      <c r="AJ1097" s="1291"/>
      <c r="AK1097" s="1291"/>
      <c r="AL1097" s="1291"/>
      <c r="AM1097" s="1291"/>
      <c r="AN1097" s="1291"/>
      <c r="AO1097" s="1291"/>
      <c r="AP1097" s="1291"/>
      <c r="AQ1097" s="1291"/>
      <c r="AR1097" s="1291"/>
    </row>
    <row r="1098" spans="1:45" ht="12.95" customHeight="1">
      <c r="A1098" s="1"/>
      <c r="B1098" s="1"/>
      <c r="C1098" s="1332"/>
      <c r="D1098" s="1332"/>
      <c r="E1098" s="1291"/>
      <c r="F1098" s="1291"/>
      <c r="G1098" s="1291"/>
      <c r="H1098" s="1291"/>
      <c r="I1098" s="1291"/>
      <c r="J1098" s="1291"/>
      <c r="K1098" s="1291"/>
      <c r="L1098" s="1291"/>
      <c r="M1098" s="1291"/>
      <c r="N1098" s="1291"/>
      <c r="O1098" s="1291"/>
      <c r="P1098" s="1291"/>
      <c r="Q1098" s="1291"/>
      <c r="R1098" s="1291"/>
      <c r="S1098" s="1291"/>
      <c r="T1098" s="1291"/>
      <c r="U1098" s="1291"/>
      <c r="V1098" s="1291"/>
      <c r="W1098" s="1291"/>
      <c r="X1098" s="1291"/>
      <c r="Y1098" s="1291"/>
      <c r="Z1098" s="1291"/>
      <c r="AA1098" s="1291"/>
      <c r="AB1098" s="1291"/>
      <c r="AC1098" s="1291"/>
      <c r="AD1098" s="1291"/>
      <c r="AE1098" s="1291"/>
      <c r="AF1098" s="1291"/>
      <c r="AG1098" s="1291"/>
      <c r="AH1098" s="1291"/>
      <c r="AI1098" s="1291"/>
      <c r="AJ1098" s="1291"/>
      <c r="AK1098" s="1291"/>
      <c r="AL1098" s="1291"/>
      <c r="AM1098" s="1291"/>
      <c r="AN1098" s="1291"/>
      <c r="AO1098" s="1291"/>
      <c r="AP1098" s="1291"/>
      <c r="AQ1098" s="1291"/>
      <c r="AR1098" s="1291"/>
    </row>
    <row r="1099" spans="1:45" ht="12.95" customHeight="1">
      <c r="A1099" s="35"/>
      <c r="B1099" s="25"/>
      <c r="C1099" s="1332"/>
      <c r="D1099" s="1332"/>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1" t="s">
        <v>591</v>
      </c>
      <c r="B1100" s="1331"/>
      <c r="C1100" s="1332">
        <v>10</v>
      </c>
      <c r="D1100" s="1332"/>
      <c r="E1100" s="1333" t="s">
        <v>2239</v>
      </c>
      <c r="F1100" s="1333"/>
      <c r="G1100" s="1333"/>
      <c r="H1100" s="1333"/>
      <c r="I1100" s="1333"/>
      <c r="J1100" s="1333"/>
      <c r="K1100" s="1333"/>
      <c r="L1100" s="1333"/>
      <c r="M1100" s="1333"/>
      <c r="N1100" s="1333"/>
      <c r="O1100" s="1333"/>
      <c r="P1100" s="1333"/>
      <c r="Q1100" s="1333"/>
      <c r="R1100" s="1333"/>
      <c r="S1100" s="1333"/>
      <c r="T1100" s="1333"/>
      <c r="U1100" s="1333"/>
      <c r="V1100" s="1333"/>
      <c r="W1100" s="1333"/>
      <c r="X1100" s="1333"/>
      <c r="Y1100" s="1333"/>
      <c r="Z1100" s="1333"/>
      <c r="AA1100" s="1333"/>
      <c r="AB1100" s="1333"/>
      <c r="AC1100" s="1333"/>
      <c r="AD1100" s="1333"/>
      <c r="AE1100" s="1333"/>
      <c r="AF1100" s="1333"/>
      <c r="AG1100" s="1333"/>
      <c r="AH1100" s="1333"/>
      <c r="AI1100" s="1333"/>
      <c r="AJ1100" s="1333"/>
      <c r="AK1100" s="1333"/>
      <c r="AL1100" s="1333"/>
      <c r="AM1100" s="1333"/>
      <c r="AN1100" s="1333"/>
      <c r="AO1100" s="1333"/>
      <c r="AP1100" s="1333"/>
      <c r="AQ1100" s="1333"/>
      <c r="AR1100" s="1333"/>
    </row>
    <row r="1101" spans="1:45" ht="12.95" customHeight="1">
      <c r="A1101" s="1"/>
      <c r="B1101" s="1"/>
      <c r="C1101" s="199"/>
      <c r="D1101" s="1160"/>
      <c r="E1101" s="1333"/>
      <c r="F1101" s="1333"/>
      <c r="G1101" s="1333"/>
      <c r="H1101" s="1333"/>
      <c r="I1101" s="1333"/>
      <c r="J1101" s="1333"/>
      <c r="K1101" s="1333"/>
      <c r="L1101" s="1333"/>
      <c r="M1101" s="1333"/>
      <c r="N1101" s="1333"/>
      <c r="O1101" s="1333"/>
      <c r="P1101" s="1333"/>
      <c r="Q1101" s="1333"/>
      <c r="R1101" s="1333"/>
      <c r="S1101" s="1333"/>
      <c r="T1101" s="1333"/>
      <c r="U1101" s="1333"/>
      <c r="V1101" s="1333"/>
      <c r="W1101" s="1333"/>
      <c r="X1101" s="1333"/>
      <c r="Y1101" s="1333"/>
      <c r="Z1101" s="1333"/>
      <c r="AA1101" s="1333"/>
      <c r="AB1101" s="1333"/>
      <c r="AC1101" s="1333"/>
      <c r="AD1101" s="1333"/>
      <c r="AE1101" s="1333"/>
      <c r="AF1101" s="1333"/>
      <c r="AG1101" s="1333"/>
      <c r="AH1101" s="1333"/>
      <c r="AI1101" s="1333"/>
      <c r="AJ1101" s="1333"/>
      <c r="AK1101" s="1333"/>
      <c r="AL1101" s="1333"/>
      <c r="AM1101" s="1333"/>
      <c r="AN1101" s="1333"/>
      <c r="AO1101" s="1333"/>
      <c r="AP1101" s="1333"/>
      <c r="AQ1101" s="1333"/>
      <c r="AR1101" s="1333"/>
    </row>
    <row r="1102" spans="1:45" ht="12.95" customHeight="1">
      <c r="A1102" s="1"/>
      <c r="B1102" s="1"/>
      <c r="C1102" s="199"/>
      <c r="D1102" s="1160"/>
      <c r="E1102" s="1160"/>
      <c r="F1102" s="1160"/>
      <c r="G1102" s="1160"/>
      <c r="H1102" s="1160"/>
      <c r="I1102" s="1160"/>
      <c r="J1102" s="1160"/>
      <c r="K1102" s="1160"/>
      <c r="L1102" s="1160"/>
      <c r="M1102" s="1160"/>
      <c r="N1102" s="1160"/>
      <c r="O1102" s="1160"/>
      <c r="P1102" s="1160"/>
      <c r="Q1102" s="1160"/>
      <c r="R1102" s="1160"/>
      <c r="S1102" s="1160"/>
      <c r="T1102" s="1160"/>
      <c r="U1102" s="1160"/>
      <c r="V1102" s="1160"/>
      <c r="W1102" s="1160"/>
      <c r="X1102" s="1160"/>
      <c r="Y1102" s="1160"/>
      <c r="Z1102" s="1160"/>
      <c r="AA1102" s="1160"/>
      <c r="AB1102" s="1160"/>
      <c r="AC1102" s="1160"/>
      <c r="AD1102" s="1160"/>
      <c r="AE1102" s="1160"/>
      <c r="AF1102" s="1160"/>
      <c r="AG1102" s="1160"/>
      <c r="AH1102" s="1160"/>
      <c r="AI1102" s="1160"/>
      <c r="AJ1102" s="1160"/>
      <c r="AK1102" s="1160"/>
    </row>
    <row r="1103" spans="1:45" ht="12.95" customHeight="1">
      <c r="A1103" s="1331" t="s">
        <v>591</v>
      </c>
      <c r="B1103" s="1331"/>
      <c r="C1103" s="1332">
        <v>11</v>
      </c>
      <c r="D1103" s="1332"/>
      <c r="E1103" s="1333" t="s">
        <v>2241</v>
      </c>
      <c r="F1103" s="1333"/>
      <c r="G1103" s="1333"/>
      <c r="H1103" s="1333"/>
      <c r="I1103" s="1333"/>
      <c r="J1103" s="1333"/>
      <c r="K1103" s="1333"/>
      <c r="L1103" s="1333"/>
      <c r="M1103" s="1333"/>
      <c r="N1103" s="1333"/>
      <c r="O1103" s="1333"/>
      <c r="P1103" s="1333"/>
      <c r="Q1103" s="1333"/>
      <c r="R1103" s="1333"/>
      <c r="S1103" s="1333"/>
      <c r="T1103" s="1333"/>
      <c r="U1103" s="1333"/>
      <c r="V1103" s="1333"/>
      <c r="W1103" s="1333"/>
      <c r="X1103" s="1333"/>
      <c r="Y1103" s="1333"/>
      <c r="Z1103" s="1333"/>
      <c r="AA1103" s="1333"/>
      <c r="AB1103" s="1333"/>
      <c r="AC1103" s="1333"/>
      <c r="AD1103" s="1333"/>
      <c r="AE1103" s="1333"/>
      <c r="AF1103" s="1333"/>
      <c r="AG1103" s="1333"/>
      <c r="AH1103" s="1333"/>
      <c r="AI1103" s="1333"/>
      <c r="AJ1103" s="1333"/>
      <c r="AK1103" s="1333"/>
      <c r="AL1103" s="1333"/>
      <c r="AM1103" s="1333"/>
      <c r="AN1103" s="1333"/>
      <c r="AO1103" s="1333"/>
      <c r="AP1103" s="1333"/>
      <c r="AQ1103" s="1333"/>
      <c r="AR1103" s="1333"/>
    </row>
    <row r="1104" spans="1:45" ht="12.95" customHeight="1">
      <c r="A1104" s="1"/>
      <c r="B1104" s="1"/>
      <c r="C1104" s="199"/>
      <c r="D1104" s="1160"/>
      <c r="E1104" s="1333"/>
      <c r="F1104" s="1333"/>
      <c r="G1104" s="1333"/>
      <c r="H1104" s="1333"/>
      <c r="I1104" s="1333"/>
      <c r="J1104" s="1333"/>
      <c r="K1104" s="1333"/>
      <c r="L1104" s="1333"/>
      <c r="M1104" s="1333"/>
      <c r="N1104" s="1333"/>
      <c r="O1104" s="1333"/>
      <c r="P1104" s="1333"/>
      <c r="Q1104" s="1333"/>
      <c r="R1104" s="1333"/>
      <c r="S1104" s="1333"/>
      <c r="T1104" s="1333"/>
      <c r="U1104" s="1333"/>
      <c r="V1104" s="1333"/>
      <c r="W1104" s="1333"/>
      <c r="X1104" s="1333"/>
      <c r="Y1104" s="1333"/>
      <c r="Z1104" s="1333"/>
      <c r="AA1104" s="1333"/>
      <c r="AB1104" s="1333"/>
      <c r="AC1104" s="1333"/>
      <c r="AD1104" s="1333"/>
      <c r="AE1104" s="1333"/>
      <c r="AF1104" s="1333"/>
      <c r="AG1104" s="1333"/>
      <c r="AH1104" s="1333"/>
      <c r="AI1104" s="1333"/>
      <c r="AJ1104" s="1333"/>
      <c r="AK1104" s="1333"/>
      <c r="AL1104" s="1333"/>
      <c r="AM1104" s="1333"/>
      <c r="AN1104" s="1333"/>
      <c r="AO1104" s="1333"/>
      <c r="AP1104" s="1333"/>
      <c r="AQ1104" s="1333"/>
      <c r="AR1104" s="1333"/>
    </row>
    <row r="1105" spans="1:37" ht="12.95" customHeight="1">
      <c r="A1105" s="1"/>
      <c r="B1105" s="1"/>
      <c r="C1105" s="199"/>
      <c r="D1105" s="1160"/>
      <c r="E1105" s="1160"/>
      <c r="F1105" s="1160"/>
      <c r="G1105" s="1160"/>
      <c r="H1105" s="1160"/>
      <c r="I1105" s="1160"/>
      <c r="J1105" s="1160"/>
      <c r="K1105" s="1160"/>
      <c r="L1105" s="1160"/>
      <c r="M1105" s="1160"/>
      <c r="N1105" s="1160"/>
      <c r="O1105" s="1160"/>
      <c r="P1105" s="1160"/>
      <c r="Q1105" s="1160"/>
      <c r="R1105" s="1160"/>
      <c r="S1105" s="1160"/>
      <c r="T1105" s="1160"/>
      <c r="U1105" s="1160"/>
      <c r="V1105" s="1160"/>
      <c r="W1105" s="1160"/>
      <c r="X1105" s="1160"/>
      <c r="Y1105" s="1160"/>
      <c r="Z1105" s="1160"/>
      <c r="AA1105" s="1160"/>
      <c r="AB1105" s="1160"/>
      <c r="AC1105" s="1160"/>
      <c r="AD1105" s="1160"/>
      <c r="AE1105" s="1160"/>
      <c r="AF1105" s="1160"/>
      <c r="AG1105" s="1160"/>
      <c r="AH1105" s="1160"/>
      <c r="AI1105" s="1160"/>
      <c r="AJ1105" s="1160"/>
      <c r="AK1105" s="1160"/>
    </row>
    <row r="1106" spans="1:37" ht="12.95" hidden="1" customHeight="1">
      <c r="A1106" s="1"/>
      <c r="B1106" s="1"/>
      <c r="C1106" s="199"/>
      <c r="D1106" s="1160"/>
      <c r="E1106" s="1160"/>
      <c r="F1106" s="1160"/>
      <c r="G1106" s="1160"/>
      <c r="H1106" s="1160"/>
      <c r="I1106" s="1160"/>
      <c r="J1106" s="1160"/>
      <c r="K1106" s="1160"/>
      <c r="L1106" s="1160"/>
      <c r="M1106" s="1160"/>
      <c r="N1106" s="1160"/>
      <c r="O1106" s="1160"/>
      <c r="P1106" s="1160"/>
      <c r="Q1106" s="1160"/>
      <c r="R1106" s="1160"/>
      <c r="S1106" s="1160"/>
      <c r="T1106" s="1160"/>
      <c r="U1106" s="1160"/>
      <c r="V1106" s="1160"/>
      <c r="W1106" s="1160"/>
      <c r="X1106" s="1160"/>
      <c r="Y1106" s="1160"/>
      <c r="Z1106" s="1160"/>
      <c r="AA1106" s="1160"/>
      <c r="AB1106" s="1160"/>
      <c r="AC1106" s="1160"/>
      <c r="AD1106" s="1160"/>
      <c r="AE1106" s="1160"/>
      <c r="AF1106" s="1160"/>
      <c r="AG1106" s="1160"/>
      <c r="AH1106" s="1160"/>
      <c r="AI1106" s="1160"/>
      <c r="AJ1106" s="1160"/>
      <c r="AK1106" s="1160"/>
    </row>
    <row r="1107" spans="1:37" ht="12.95" hidden="1" customHeight="1">
      <c r="A1107" s="1"/>
      <c r="B1107" s="1"/>
      <c r="C1107" s="199"/>
      <c r="D1107" s="1160"/>
      <c r="E1107" s="1160"/>
      <c r="F1107" s="1160"/>
      <c r="G1107" s="1160"/>
      <c r="H1107" s="1160"/>
      <c r="I1107" s="1160"/>
      <c r="J1107" s="1160"/>
      <c r="K1107" s="1160"/>
      <c r="L1107" s="1160"/>
      <c r="M1107" s="1160"/>
      <c r="N1107" s="1160"/>
      <c r="O1107" s="1160"/>
      <c r="P1107" s="1160"/>
      <c r="Q1107" s="1160"/>
      <c r="R1107" s="1160"/>
      <c r="S1107" s="1160"/>
      <c r="T1107" s="1160"/>
      <c r="U1107" s="1160"/>
      <c r="V1107" s="1160"/>
      <c r="W1107" s="1160"/>
      <c r="X1107" s="1160"/>
      <c r="Y1107" s="1160"/>
      <c r="Z1107" s="1160"/>
      <c r="AA1107" s="1160"/>
      <c r="AB1107" s="1160"/>
      <c r="AC1107" s="1160"/>
      <c r="AD1107" s="1160"/>
      <c r="AE1107" s="1160"/>
      <c r="AF1107" s="1160"/>
      <c r="AG1107" s="1160"/>
      <c r="AH1107" s="1160"/>
      <c r="AI1107" s="1160"/>
      <c r="AJ1107" s="1160"/>
      <c r="AK1107" s="1160"/>
    </row>
    <row r="1108" spans="1:37" ht="12.95" hidden="1" customHeight="1">
      <c r="A1108" s="1"/>
      <c r="B1108" s="1"/>
      <c r="C1108" s="199"/>
      <c r="D1108" s="1160"/>
      <c r="E1108" s="1160"/>
      <c r="F1108" s="1160"/>
      <c r="G1108" s="1160"/>
      <c r="H1108" s="1160"/>
      <c r="I1108" s="1160"/>
      <c r="J1108" s="1160"/>
      <c r="K1108" s="1160"/>
      <c r="L1108" s="1160"/>
      <c r="M1108" s="1160"/>
      <c r="N1108" s="1160"/>
      <c r="O1108" s="1160"/>
      <c r="P1108" s="1160"/>
      <c r="Q1108" s="1160"/>
      <c r="R1108" s="1160"/>
      <c r="S1108" s="1160"/>
      <c r="T1108" s="1160"/>
      <c r="U1108" s="1160"/>
      <c r="V1108" s="1160"/>
      <c r="W1108" s="1160"/>
      <c r="X1108" s="1160"/>
      <c r="Y1108" s="1160"/>
      <c r="Z1108" s="1160"/>
      <c r="AA1108" s="1160"/>
      <c r="AB1108" s="1160"/>
      <c r="AC1108" s="1160"/>
      <c r="AD1108" s="1160"/>
      <c r="AE1108" s="1160"/>
      <c r="AF1108" s="1160"/>
      <c r="AG1108" s="1160"/>
      <c r="AH1108" s="1160"/>
      <c r="AI1108" s="1160"/>
      <c r="AJ1108" s="1160"/>
      <c r="AK1108" s="1160"/>
    </row>
    <row r="1109" spans="1:37" ht="12.95" hidden="1" customHeight="1">
      <c r="A1109" s="1"/>
      <c r="B1109" s="1"/>
      <c r="C1109" s="199"/>
      <c r="D1109" s="1160"/>
      <c r="E1109" s="1160"/>
      <c r="F1109" s="1160"/>
      <c r="G1109" s="1160"/>
      <c r="H1109" s="1160"/>
      <c r="I1109" s="1160"/>
      <c r="J1109" s="1160"/>
      <c r="K1109" s="1160"/>
      <c r="L1109" s="1160"/>
      <c r="M1109" s="1160"/>
      <c r="N1109" s="1160"/>
      <c r="O1109" s="1160"/>
      <c r="P1109" s="1160"/>
      <c r="Q1109" s="1160"/>
      <c r="R1109" s="1160"/>
      <c r="S1109" s="1160"/>
      <c r="T1109" s="1160"/>
      <c r="U1109" s="1160"/>
      <c r="V1109" s="1160"/>
      <c r="W1109" s="1160"/>
      <c r="X1109" s="1160"/>
      <c r="Y1109" s="1160"/>
      <c r="Z1109" s="1160"/>
      <c r="AA1109" s="1160"/>
      <c r="AB1109" s="1160"/>
      <c r="AC1109" s="1160"/>
      <c r="AD1109" s="1160"/>
      <c r="AE1109" s="1160"/>
      <c r="AF1109" s="1160"/>
      <c r="AG1109" s="1160"/>
      <c r="AH1109" s="1160"/>
      <c r="AI1109" s="1160"/>
      <c r="AJ1109" s="1160"/>
      <c r="AK1109" s="1160"/>
    </row>
    <row r="1110" spans="1:37" ht="12.95" hidden="1" customHeight="1">
      <c r="A1110" s="1"/>
      <c r="B1110" s="1"/>
      <c r="C1110" s="199"/>
      <c r="D1110" s="1160"/>
      <c r="E1110" s="1160"/>
      <c r="F1110" s="1160"/>
      <c r="G1110" s="1160"/>
      <c r="H1110" s="1160"/>
      <c r="I1110" s="1160"/>
      <c r="J1110" s="1160"/>
      <c r="K1110" s="1160"/>
      <c r="L1110" s="1160"/>
      <c r="M1110" s="1160"/>
      <c r="N1110" s="1160"/>
      <c r="O1110" s="1160"/>
      <c r="P1110" s="1160"/>
      <c r="Q1110" s="1160"/>
      <c r="R1110" s="1160"/>
      <c r="S1110" s="1160"/>
      <c r="T1110" s="1160"/>
      <c r="U1110" s="1160"/>
      <c r="V1110" s="1160"/>
      <c r="W1110" s="1160"/>
      <c r="X1110" s="1160"/>
      <c r="Y1110" s="1160"/>
      <c r="Z1110" s="1160"/>
      <c r="AA1110" s="1160"/>
      <c r="AB1110" s="1160"/>
      <c r="AC1110" s="1160"/>
      <c r="AD1110" s="1160"/>
      <c r="AE1110" s="1160"/>
      <c r="AF1110" s="1160"/>
      <c r="AG1110" s="1160"/>
      <c r="AH1110" s="1160"/>
      <c r="AI1110" s="1160"/>
      <c r="AJ1110" s="1160"/>
      <c r="AK1110" s="1160"/>
    </row>
    <row r="1111" spans="1:37" ht="12.95" hidden="1" customHeight="1">
      <c r="A1111" s="1"/>
      <c r="B1111" s="1"/>
      <c r="C1111" s="199"/>
      <c r="D1111" s="1160"/>
      <c r="E1111" s="1160"/>
      <c r="F1111" s="1160"/>
      <c r="G1111" s="1160"/>
      <c r="H1111" s="1160"/>
      <c r="I1111" s="1160"/>
      <c r="J1111" s="1160"/>
      <c r="K1111" s="1160"/>
      <c r="L1111" s="1160"/>
      <c r="M1111" s="1160"/>
      <c r="N1111" s="1160"/>
      <c r="O1111" s="1160"/>
      <c r="P1111" s="1160"/>
      <c r="Q1111" s="1160"/>
      <c r="R1111" s="1160"/>
      <c r="S1111" s="1160"/>
      <c r="T1111" s="1160"/>
      <c r="U1111" s="1160"/>
      <c r="V1111" s="1160"/>
      <c r="W1111" s="1160"/>
      <c r="X1111" s="1160"/>
      <c r="Y1111" s="1160"/>
      <c r="Z1111" s="1160"/>
      <c r="AA1111" s="1160"/>
      <c r="AB1111" s="1160"/>
      <c r="AC1111" s="1160"/>
      <c r="AD1111" s="1160"/>
      <c r="AE1111" s="1160"/>
      <c r="AF1111" s="1160"/>
      <c r="AG1111" s="1160"/>
      <c r="AH1111" s="1160"/>
      <c r="AI1111" s="1160"/>
      <c r="AJ1111" s="1160"/>
      <c r="AK1111" s="1160"/>
    </row>
    <row r="1112" spans="1:37" ht="12.95" hidden="1" customHeight="1">
      <c r="A1112" s="1"/>
      <c r="B1112" s="1"/>
      <c r="C1112" s="199"/>
      <c r="D1112" s="1160"/>
      <c r="E1112" s="1160"/>
      <c r="F1112" s="1160"/>
      <c r="G1112" s="1160"/>
      <c r="H1112" s="1160"/>
      <c r="I1112" s="1160"/>
      <c r="J1112" s="1160"/>
      <c r="K1112" s="1160"/>
      <c r="L1112" s="1160"/>
      <c r="M1112" s="1160"/>
      <c r="N1112" s="1160"/>
      <c r="O1112" s="1160"/>
      <c r="P1112" s="1160"/>
      <c r="Q1112" s="1160"/>
      <c r="R1112" s="1160"/>
      <c r="S1112" s="1160"/>
      <c r="T1112" s="1160"/>
      <c r="U1112" s="1160"/>
      <c r="V1112" s="1160"/>
      <c r="W1112" s="1160"/>
      <c r="X1112" s="1160"/>
      <c r="Y1112" s="1160"/>
      <c r="Z1112" s="1160"/>
      <c r="AA1112" s="1160"/>
      <c r="AB1112" s="1160"/>
      <c r="AC1112" s="1160"/>
      <c r="AD1112" s="1160"/>
      <c r="AE1112" s="1160"/>
      <c r="AF1112" s="1160"/>
      <c r="AG1112" s="1160"/>
      <c r="AH1112" s="1160"/>
      <c r="AI1112" s="1160"/>
      <c r="AJ1112" s="1160"/>
      <c r="AK1112" s="1160"/>
    </row>
    <row r="1113" spans="1:37" ht="12.95" hidden="1" customHeight="1">
      <c r="A1113" s="1"/>
      <c r="B1113" s="1"/>
      <c r="C1113" s="199"/>
      <c r="D1113" s="1160"/>
      <c r="E1113" s="1160"/>
      <c r="F1113" s="1160"/>
      <c r="G1113" s="1160"/>
      <c r="H1113" s="1160"/>
      <c r="I1113" s="1160"/>
      <c r="J1113" s="1160"/>
      <c r="K1113" s="1160"/>
      <c r="L1113" s="1160"/>
      <c r="M1113" s="1160"/>
      <c r="N1113" s="1160"/>
      <c r="O1113" s="1160"/>
      <c r="P1113" s="1160"/>
      <c r="Q1113" s="1160"/>
      <c r="R1113" s="1160"/>
      <c r="S1113" s="1160"/>
      <c r="T1113" s="1160"/>
      <c r="U1113" s="1160"/>
      <c r="V1113" s="1160"/>
      <c r="W1113" s="1160"/>
      <c r="X1113" s="1160"/>
      <c r="Y1113" s="1160"/>
      <c r="Z1113" s="1160"/>
      <c r="AA1113" s="1160"/>
      <c r="AB1113" s="1160"/>
      <c r="AC1113" s="1160"/>
      <c r="AD1113" s="1160"/>
      <c r="AE1113" s="1160"/>
      <c r="AF1113" s="1160"/>
      <c r="AG1113" s="1160"/>
      <c r="AH1113" s="1160"/>
      <c r="AI1113" s="1160"/>
      <c r="AJ1113" s="1160"/>
      <c r="AK1113" s="1160"/>
    </row>
    <row r="1114" spans="1:37" ht="12.95" hidden="1" customHeight="1">
      <c r="A1114" s="1"/>
      <c r="B1114" s="1"/>
      <c r="C1114" s="199"/>
      <c r="D1114" s="1160"/>
      <c r="E1114" s="1160"/>
      <c r="F1114" s="1160"/>
      <c r="G1114" s="1160"/>
      <c r="H1114" s="1160"/>
      <c r="I1114" s="1160"/>
      <c r="J1114" s="1160"/>
      <c r="K1114" s="1160"/>
      <c r="L1114" s="1160"/>
      <c r="M1114" s="1160"/>
      <c r="N1114" s="1160"/>
      <c r="O1114" s="1160"/>
      <c r="P1114" s="1160"/>
      <c r="Q1114" s="1160"/>
      <c r="R1114" s="1160"/>
      <c r="S1114" s="1160"/>
      <c r="T1114" s="1160"/>
      <c r="U1114" s="1160"/>
      <c r="V1114" s="1160"/>
      <c r="W1114" s="1160"/>
      <c r="X1114" s="1160"/>
      <c r="Y1114" s="1160"/>
      <c r="Z1114" s="1160"/>
      <c r="AA1114" s="1160"/>
      <c r="AB1114" s="1160"/>
      <c r="AC1114" s="1160"/>
      <c r="AD1114" s="1160"/>
      <c r="AE1114" s="1160"/>
      <c r="AF1114" s="1160"/>
      <c r="AG1114" s="1160"/>
      <c r="AH1114" s="1160"/>
      <c r="AI1114" s="1160"/>
      <c r="AJ1114" s="1160"/>
      <c r="AK1114" s="1160"/>
    </row>
    <row r="1115" spans="1:37" ht="12.95" hidden="1" customHeight="1">
      <c r="A1115" s="1"/>
      <c r="B1115" s="1"/>
      <c r="C1115" s="199"/>
      <c r="D1115" s="1160"/>
      <c r="E1115" s="1160"/>
      <c r="F1115" s="1160"/>
      <c r="G1115" s="1160"/>
      <c r="H1115" s="1160"/>
      <c r="I1115" s="1160"/>
      <c r="J1115" s="1160"/>
      <c r="K1115" s="1160"/>
      <c r="L1115" s="1160"/>
      <c r="M1115" s="1160"/>
      <c r="N1115" s="1160"/>
      <c r="O1115" s="1160"/>
      <c r="P1115" s="1160"/>
      <c r="Q1115" s="1160"/>
      <c r="R1115" s="1160"/>
      <c r="S1115" s="1160"/>
      <c r="T1115" s="1160"/>
      <c r="U1115" s="1160"/>
      <c r="V1115" s="1160"/>
      <c r="W1115" s="1160"/>
      <c r="X1115" s="1160"/>
      <c r="Y1115" s="1160"/>
      <c r="Z1115" s="1160"/>
      <c r="AA1115" s="1160"/>
      <c r="AB1115" s="1160"/>
      <c r="AC1115" s="1160"/>
      <c r="AD1115" s="1160"/>
      <c r="AE1115" s="1160"/>
      <c r="AF1115" s="1160"/>
      <c r="AG1115" s="1160"/>
      <c r="AH1115" s="1160"/>
      <c r="AI1115" s="1160"/>
      <c r="AJ1115" s="1160"/>
      <c r="AK1115" s="1160"/>
    </row>
    <row r="1116" spans="1:37" ht="12.95" hidden="1" customHeight="1">
      <c r="A1116" s="1"/>
      <c r="B1116" s="1"/>
      <c r="C1116" s="199"/>
      <c r="D1116" s="1160"/>
      <c r="E1116" s="1160"/>
      <c r="F1116" s="1160"/>
      <c r="G1116" s="1160"/>
      <c r="H1116" s="1160"/>
      <c r="I1116" s="1160"/>
      <c r="J1116" s="1160"/>
      <c r="K1116" s="1160"/>
      <c r="L1116" s="1160"/>
      <c r="M1116" s="1160"/>
      <c r="N1116" s="1160"/>
      <c r="O1116" s="1160"/>
      <c r="P1116" s="1160"/>
      <c r="Q1116" s="1160"/>
      <c r="R1116" s="1160"/>
      <c r="S1116" s="1160"/>
      <c r="T1116" s="1160"/>
      <c r="U1116" s="1160"/>
      <c r="V1116" s="1160"/>
      <c r="W1116" s="1160"/>
      <c r="X1116" s="1160"/>
      <c r="Y1116" s="1160"/>
      <c r="Z1116" s="1160"/>
      <c r="AA1116" s="1160"/>
      <c r="AB1116" s="1160"/>
      <c r="AC1116" s="1160"/>
      <c r="AD1116" s="1160"/>
      <c r="AE1116" s="1160"/>
      <c r="AF1116" s="1160"/>
      <c r="AG1116" s="1160"/>
      <c r="AH1116" s="1160"/>
      <c r="AI1116" s="1160"/>
      <c r="AJ1116" s="1160"/>
      <c r="AK1116" s="1160"/>
    </row>
    <row r="1117" spans="1:37" ht="12.95" hidden="1" customHeight="1">
      <c r="A1117" s="1"/>
      <c r="B1117" s="1"/>
      <c r="C1117" s="199"/>
      <c r="D1117" s="1160"/>
      <c r="E1117" s="1160"/>
      <c r="F1117" s="1160"/>
      <c r="G1117" s="1160"/>
      <c r="H1117" s="1160"/>
      <c r="I1117" s="1160"/>
      <c r="J1117" s="1160"/>
      <c r="K1117" s="1160"/>
      <c r="L1117" s="1160"/>
      <c r="M1117" s="1160"/>
      <c r="N1117" s="1160"/>
      <c r="O1117" s="1160"/>
      <c r="P1117" s="1160"/>
      <c r="Q1117" s="1160"/>
      <c r="R1117" s="1160"/>
      <c r="S1117" s="1160"/>
      <c r="T1117" s="1160"/>
      <c r="U1117" s="1160"/>
      <c r="V1117" s="1160"/>
      <c r="W1117" s="1160"/>
      <c r="X1117" s="1160"/>
      <c r="Y1117" s="1160"/>
      <c r="Z1117" s="1160"/>
      <c r="AA1117" s="1160"/>
      <c r="AB1117" s="1160"/>
      <c r="AC1117" s="1160"/>
      <c r="AD1117" s="1160"/>
      <c r="AE1117" s="1160"/>
      <c r="AF1117" s="1160"/>
      <c r="AG1117" s="1160"/>
      <c r="AH1117" s="1160"/>
      <c r="AI1117" s="1160"/>
      <c r="AJ1117" s="1160"/>
      <c r="AK1117" s="1160"/>
    </row>
    <row r="1118" spans="1:37" ht="12.95" hidden="1" customHeight="1">
      <c r="A1118" s="1"/>
      <c r="B1118" s="1"/>
      <c r="C1118" s="199"/>
      <c r="D1118" s="1160"/>
      <c r="E1118" s="1160"/>
      <c r="F1118" s="1160"/>
      <c r="G1118" s="1160"/>
      <c r="H1118" s="1160"/>
      <c r="I1118" s="1160"/>
      <c r="J1118" s="1160"/>
      <c r="K1118" s="1160"/>
      <c r="L1118" s="1160"/>
      <c r="M1118" s="1160"/>
      <c r="N1118" s="1160"/>
      <c r="O1118" s="1160"/>
      <c r="P1118" s="1160"/>
      <c r="Q1118" s="1160"/>
      <c r="R1118" s="1160"/>
      <c r="S1118" s="1160"/>
      <c r="T1118" s="1160"/>
      <c r="U1118" s="1160"/>
      <c r="V1118" s="1160"/>
      <c r="W1118" s="1160"/>
      <c r="X1118" s="1160"/>
      <c r="Y1118" s="1160"/>
      <c r="Z1118" s="1160"/>
      <c r="AA1118" s="1160"/>
      <c r="AB1118" s="1160"/>
      <c r="AC1118" s="1160"/>
      <c r="AD1118" s="1160"/>
      <c r="AE1118" s="1160"/>
      <c r="AF1118" s="1160"/>
      <c r="AG1118" s="1160"/>
      <c r="AH1118" s="1160"/>
      <c r="AI1118" s="1160"/>
      <c r="AJ1118" s="1160"/>
      <c r="AK1118" s="1160"/>
    </row>
    <row r="1119" spans="1:37" ht="12.95" hidden="1" customHeight="1">
      <c r="A1119" s="1"/>
      <c r="B1119" s="1"/>
      <c r="C1119" s="199"/>
      <c r="D1119" s="1160"/>
      <c r="E1119" s="1160"/>
      <c r="F1119" s="1160"/>
      <c r="G1119" s="1160"/>
      <c r="H1119" s="1160"/>
      <c r="I1119" s="1160"/>
      <c r="J1119" s="1160"/>
      <c r="K1119" s="1160"/>
      <c r="L1119" s="1160"/>
      <c r="M1119" s="1160"/>
      <c r="N1119" s="1160"/>
      <c r="O1119" s="1160"/>
      <c r="P1119" s="1160"/>
      <c r="Q1119" s="1160"/>
      <c r="R1119" s="1160"/>
      <c r="S1119" s="1160"/>
      <c r="T1119" s="1160"/>
      <c r="U1119" s="1160"/>
      <c r="V1119" s="1160"/>
      <c r="W1119" s="1160"/>
      <c r="X1119" s="1160"/>
      <c r="Y1119" s="1160"/>
      <c r="Z1119" s="1160"/>
      <c r="AA1119" s="1160"/>
      <c r="AB1119" s="1160"/>
      <c r="AC1119" s="1160"/>
      <c r="AD1119" s="1160"/>
      <c r="AE1119" s="1160"/>
      <c r="AF1119" s="1160"/>
      <c r="AG1119" s="1160"/>
      <c r="AH1119" s="1160"/>
      <c r="AI1119" s="1160"/>
      <c r="AJ1119" s="1160"/>
      <c r="AK1119" s="1160"/>
    </row>
    <row r="1120" spans="1:37" ht="12.95" hidden="1" customHeight="1">
      <c r="A1120" s="1"/>
      <c r="B1120" s="1"/>
      <c r="C1120" s="199"/>
      <c r="D1120" s="1160"/>
      <c r="E1120" s="1160"/>
      <c r="F1120" s="1160"/>
      <c r="G1120" s="1160"/>
      <c r="H1120" s="1160"/>
      <c r="I1120" s="1160"/>
      <c r="J1120" s="1160"/>
      <c r="K1120" s="1160"/>
      <c r="L1120" s="1160"/>
      <c r="M1120" s="1160"/>
      <c r="N1120" s="1160"/>
      <c r="O1120" s="1160"/>
      <c r="P1120" s="1160"/>
      <c r="Q1120" s="1160"/>
      <c r="R1120" s="1160"/>
      <c r="S1120" s="1160"/>
      <c r="T1120" s="1160"/>
      <c r="U1120" s="1160"/>
      <c r="V1120" s="1160"/>
      <c r="W1120" s="1160"/>
      <c r="X1120" s="1160"/>
      <c r="Y1120" s="1160"/>
      <c r="Z1120" s="1160"/>
      <c r="AA1120" s="1160"/>
      <c r="AB1120" s="1160"/>
      <c r="AC1120" s="1160"/>
      <c r="AD1120" s="1160"/>
      <c r="AE1120" s="1160"/>
      <c r="AF1120" s="1160"/>
      <c r="AG1120" s="1160"/>
      <c r="AH1120" s="1160"/>
      <c r="AI1120" s="1160"/>
      <c r="AJ1120" s="1160"/>
      <c r="AK1120" s="1160"/>
    </row>
    <row r="1121" spans="1:37" ht="12.95" hidden="1" customHeight="1">
      <c r="A1121" s="1"/>
      <c r="B1121" s="1"/>
      <c r="C1121" s="199"/>
      <c r="D1121" s="1160"/>
      <c r="E1121" s="1160"/>
      <c r="F1121" s="1160"/>
      <c r="G1121" s="1160"/>
      <c r="H1121" s="1160"/>
      <c r="I1121" s="1160"/>
      <c r="J1121" s="1160"/>
      <c r="K1121" s="1160"/>
      <c r="L1121" s="1160"/>
      <c r="M1121" s="1160"/>
      <c r="N1121" s="1160"/>
      <c r="O1121" s="1160"/>
      <c r="P1121" s="1160"/>
      <c r="Q1121" s="1160"/>
      <c r="R1121" s="1160"/>
      <c r="S1121" s="1160"/>
      <c r="T1121" s="1160"/>
      <c r="U1121" s="1160"/>
      <c r="V1121" s="1160"/>
      <c r="W1121" s="1160"/>
      <c r="X1121" s="1160"/>
      <c r="Y1121" s="1160"/>
      <c r="Z1121" s="1160"/>
      <c r="AA1121" s="1160"/>
      <c r="AB1121" s="1160"/>
      <c r="AC1121" s="1160"/>
      <c r="AD1121" s="1160"/>
      <c r="AE1121" s="1160"/>
      <c r="AF1121" s="1160"/>
      <c r="AG1121" s="1160"/>
      <c r="AH1121" s="1160"/>
      <c r="AI1121" s="1160"/>
      <c r="AJ1121" s="1160"/>
      <c r="AK1121" s="1160"/>
    </row>
    <row r="1122" spans="1:37" ht="12.95" hidden="1" customHeight="1">
      <c r="A1122" s="1"/>
      <c r="B1122" s="1"/>
      <c r="C1122" s="199"/>
      <c r="D1122" s="1160"/>
      <c r="E1122" s="1160"/>
      <c r="F1122" s="1160"/>
      <c r="G1122" s="1160"/>
      <c r="H1122" s="1160"/>
      <c r="I1122" s="1160"/>
      <c r="J1122" s="1160"/>
      <c r="K1122" s="1160"/>
      <c r="L1122" s="1160"/>
      <c r="M1122" s="1160"/>
      <c r="N1122" s="1160"/>
      <c r="O1122" s="1160"/>
      <c r="P1122" s="1160"/>
      <c r="Q1122" s="1160"/>
      <c r="R1122" s="1160"/>
      <c r="S1122" s="1160"/>
      <c r="T1122" s="1160"/>
      <c r="U1122" s="1160"/>
      <c r="V1122" s="1160"/>
      <c r="W1122" s="1160"/>
      <c r="X1122" s="1160"/>
      <c r="Y1122" s="1160"/>
      <c r="Z1122" s="1160"/>
      <c r="AA1122" s="1160"/>
      <c r="AB1122" s="1160"/>
      <c r="AC1122" s="1160"/>
      <c r="AD1122" s="1160"/>
      <c r="AE1122" s="1160"/>
      <c r="AF1122" s="1160"/>
      <c r="AG1122" s="1160"/>
      <c r="AH1122" s="1160"/>
      <c r="AI1122" s="1160"/>
      <c r="AJ1122" s="1160"/>
      <c r="AK1122" s="1160"/>
    </row>
    <row r="1123" spans="1:37" ht="0" hidden="1" customHeight="1">
      <c r="A1123" s="1"/>
      <c r="B1123" s="1"/>
      <c r="C1123" s="199"/>
      <c r="D1123" s="1160"/>
      <c r="E1123" s="1160"/>
      <c r="F1123" s="1160"/>
      <c r="G1123" s="1160"/>
      <c r="H1123" s="1160"/>
      <c r="I1123" s="1160"/>
      <c r="J1123" s="1160"/>
      <c r="K1123" s="1160"/>
      <c r="L1123" s="1160"/>
      <c r="M1123" s="1160"/>
      <c r="N1123" s="1160"/>
      <c r="O1123" s="1160"/>
      <c r="P1123" s="1160"/>
      <c r="Q1123" s="1160"/>
      <c r="R1123" s="1160"/>
      <c r="S1123" s="1160"/>
      <c r="T1123" s="1160"/>
      <c r="U1123" s="1160"/>
      <c r="V1123" s="1160"/>
      <c r="W1123" s="1160"/>
      <c r="X1123" s="1160"/>
      <c r="Y1123" s="1160"/>
      <c r="Z1123" s="1160"/>
      <c r="AA1123" s="1160"/>
      <c r="AB1123" s="1160"/>
      <c r="AC1123" s="1160"/>
      <c r="AD1123" s="1160"/>
      <c r="AE1123" s="1160"/>
      <c r="AF1123" s="1160"/>
      <c r="AG1123" s="1160"/>
      <c r="AH1123" s="1160"/>
      <c r="AI1123" s="1160"/>
      <c r="AJ1123" s="1160"/>
      <c r="AK1123" s="1160"/>
    </row>
    <row r="1124" spans="1:37" ht="0" hidden="1" customHeight="1">
      <c r="A1124" s="35"/>
      <c r="B1124" s="25"/>
      <c r="C1124" s="199"/>
      <c r="D1124" s="1160"/>
      <c r="E1124" s="1160"/>
      <c r="F1124" s="1160"/>
      <c r="G1124" s="1160"/>
      <c r="H1124" s="1160"/>
      <c r="I1124" s="1160"/>
      <c r="J1124" s="1160"/>
      <c r="K1124" s="1160"/>
      <c r="L1124" s="1160"/>
      <c r="M1124" s="1160"/>
      <c r="N1124" s="1160"/>
      <c r="O1124" s="1160"/>
      <c r="P1124" s="1160"/>
      <c r="Q1124" s="1160"/>
      <c r="R1124" s="1160"/>
      <c r="S1124" s="1160"/>
      <c r="T1124" s="1160"/>
      <c r="U1124" s="1160"/>
      <c r="V1124" s="1160"/>
      <c r="W1124" s="1160"/>
      <c r="X1124" s="1160"/>
      <c r="Y1124" s="1160"/>
      <c r="Z1124" s="1160"/>
      <c r="AA1124" s="1160"/>
      <c r="AB1124" s="1160"/>
      <c r="AC1124" s="1160"/>
      <c r="AD1124" s="1160"/>
      <c r="AE1124" s="1160"/>
      <c r="AF1124" s="1160"/>
      <c r="AG1124" s="1160"/>
      <c r="AH1124" s="1160"/>
      <c r="AI1124" s="1160"/>
      <c r="AJ1124" s="1160"/>
      <c r="AK1124" s="1160"/>
    </row>
    <row r="1125" spans="1:37" ht="0" hidden="1" customHeight="1">
      <c r="A1125" s="1331" t="s">
        <v>591</v>
      </c>
      <c r="B1125" s="1331"/>
      <c r="C1125" s="199">
        <v>9</v>
      </c>
      <c r="D1125" s="1261" t="s">
        <v>1073</v>
      </c>
      <c r="E1125" s="1261"/>
      <c r="F1125" s="1261"/>
      <c r="G1125" s="1261"/>
      <c r="H1125" s="1261"/>
      <c r="I1125" s="1261"/>
      <c r="J1125" s="1261"/>
      <c r="K1125" s="1261"/>
      <c r="L1125" s="1261"/>
      <c r="M1125" s="1261"/>
      <c r="N1125" s="1261"/>
      <c r="O1125" s="1261"/>
      <c r="P1125" s="1261"/>
      <c r="Q1125" s="1261"/>
      <c r="R1125" s="1261"/>
      <c r="S1125" s="1261"/>
      <c r="T1125" s="1261"/>
      <c r="U1125" s="1261"/>
      <c r="V1125" s="1261"/>
      <c r="W1125" s="1261"/>
      <c r="X1125" s="1261"/>
      <c r="Y1125" s="1261"/>
      <c r="Z1125" s="1261"/>
      <c r="AA1125" s="1261"/>
      <c r="AB1125" s="1261"/>
      <c r="AC1125" s="1261"/>
      <c r="AD1125" s="1261"/>
      <c r="AE1125" s="1261"/>
      <c r="AF1125" s="1261"/>
      <c r="AG1125" s="1261"/>
      <c r="AH1125" s="1261"/>
      <c r="AI1125" s="1261"/>
      <c r="AJ1125" s="1261"/>
      <c r="AK1125" s="1261"/>
    </row>
    <row r="1126" spans="1:37" ht="0" hidden="1" customHeight="1">
      <c r="A1126" s="35"/>
      <c r="B1126" s="25"/>
      <c r="C1126" s="199"/>
      <c r="D1126" s="1261"/>
      <c r="E1126" s="1261"/>
      <c r="F1126" s="1261"/>
      <c r="G1126" s="1261"/>
      <c r="H1126" s="1261"/>
      <c r="I1126" s="1261"/>
      <c r="J1126" s="1261"/>
      <c r="K1126" s="1261"/>
      <c r="L1126" s="1261"/>
      <c r="M1126" s="1261"/>
      <c r="N1126" s="1261"/>
      <c r="O1126" s="1261"/>
      <c r="P1126" s="1261"/>
      <c r="Q1126" s="1261"/>
      <c r="R1126" s="1261"/>
      <c r="S1126" s="1261"/>
      <c r="T1126" s="1261"/>
      <c r="U1126" s="1261"/>
      <c r="V1126" s="1261"/>
      <c r="W1126" s="1261"/>
      <c r="X1126" s="1261"/>
      <c r="Y1126" s="1261"/>
      <c r="Z1126" s="1261"/>
      <c r="AA1126" s="1261"/>
      <c r="AB1126" s="1261"/>
      <c r="AC1126" s="1261"/>
      <c r="AD1126" s="1261"/>
      <c r="AE1126" s="1261"/>
      <c r="AF1126" s="1261"/>
      <c r="AG1126" s="1261"/>
      <c r="AH1126" s="1261"/>
      <c r="AI1126" s="1261"/>
      <c r="AJ1126" s="1261"/>
      <c r="AK1126" s="1261"/>
    </row>
    <row r="1127" spans="1:37" ht="0" hidden="1" customHeight="1">
      <c r="D1127" s="1261"/>
      <c r="E1127" s="1261"/>
      <c r="F1127" s="1261"/>
      <c r="G1127" s="1261"/>
      <c r="H1127" s="1261"/>
      <c r="I1127" s="1261"/>
      <c r="J1127" s="1261"/>
      <c r="K1127" s="1261"/>
      <c r="L1127" s="1261"/>
      <c r="M1127" s="1261"/>
      <c r="N1127" s="1261"/>
      <c r="O1127" s="1261"/>
      <c r="P1127" s="1261"/>
      <c r="Q1127" s="1261"/>
      <c r="R1127" s="1261"/>
      <c r="S1127" s="1261"/>
      <c r="T1127" s="1261"/>
      <c r="U1127" s="1261"/>
      <c r="V1127" s="1261"/>
      <c r="W1127" s="1261"/>
      <c r="X1127" s="1261"/>
      <c r="Y1127" s="1261"/>
      <c r="Z1127" s="1261"/>
      <c r="AA1127" s="1261"/>
      <c r="AB1127" s="1261"/>
      <c r="AC1127" s="1261"/>
      <c r="AD1127" s="1261"/>
      <c r="AE1127" s="1261"/>
      <c r="AF1127" s="1261"/>
      <c r="AG1127" s="1261"/>
      <c r="AH1127" s="1261"/>
      <c r="AI1127" s="1261"/>
      <c r="AJ1127" s="1261"/>
      <c r="AK1127" s="1261"/>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H313:R313"/>
    <mergeCell ref="H312:R312"/>
    <mergeCell ref="H314:R314"/>
    <mergeCell ref="H315:M315"/>
    <mergeCell ref="H316:M316"/>
    <mergeCell ref="H317:R317"/>
    <mergeCell ref="DU797:DY797"/>
    <mergeCell ref="EJ788:EN788"/>
    <mergeCell ref="EJ789:EN789"/>
    <mergeCell ref="EJ790:EN790"/>
    <mergeCell ref="EJ791:EN791"/>
    <mergeCell ref="EJ792:EN792"/>
    <mergeCell ref="EJ793:EN793"/>
    <mergeCell ref="EJ794:EN794"/>
    <mergeCell ref="EJ795:EN795"/>
    <mergeCell ref="EJ796:EN796"/>
    <mergeCell ref="EJ797:EN797"/>
    <mergeCell ref="AA322:AK322"/>
    <mergeCell ref="AA319:AK319"/>
    <mergeCell ref="AA321:AK321"/>
    <mergeCell ref="AA320:AK320"/>
    <mergeCell ref="AA323:AF323"/>
    <mergeCell ref="AA325:AK325"/>
    <mergeCell ref="CU776:CY776"/>
    <mergeCell ref="CZ793:DD793"/>
    <mergeCell ref="CZ788:DD788"/>
    <mergeCell ref="CZ789:DD789"/>
    <mergeCell ref="CZ790:DD790"/>
    <mergeCell ref="CZ791:DD791"/>
    <mergeCell ref="CZ792:DD792"/>
    <mergeCell ref="CZ743:DD743"/>
    <mergeCell ref="X745:AB745"/>
    <mergeCell ref="EO787:ES787"/>
    <mergeCell ref="DZ797:ED797"/>
    <mergeCell ref="DE795:DI795"/>
    <mergeCell ref="DE796:DI796"/>
    <mergeCell ref="DE797:DI797"/>
    <mergeCell ref="DJ787:DN787"/>
    <mergeCell ref="DJ788:DN788"/>
    <mergeCell ref="DJ789:DN789"/>
    <mergeCell ref="DJ790:DN790"/>
    <mergeCell ref="DJ791:DN791"/>
    <mergeCell ref="DZ787:ED787"/>
    <mergeCell ref="DZ788:ED788"/>
    <mergeCell ref="DZ789:ED789"/>
    <mergeCell ref="DZ790:ED790"/>
    <mergeCell ref="DZ791:ED791"/>
    <mergeCell ref="DZ792:ED792"/>
    <mergeCell ref="DZ793:ED793"/>
    <mergeCell ref="DZ794:ED794"/>
    <mergeCell ref="DZ795:ED795"/>
    <mergeCell ref="DZ796:ED796"/>
    <mergeCell ref="EE794:EI794"/>
    <mergeCell ref="EE787:EI787"/>
    <mergeCell ref="EE788:EI788"/>
    <mergeCell ref="EE789:EI789"/>
    <mergeCell ref="EE790:EI790"/>
    <mergeCell ref="EE791:EI791"/>
    <mergeCell ref="EE792:EI792"/>
    <mergeCell ref="EE793:EI793"/>
    <mergeCell ref="DE788:DI788"/>
    <mergeCell ref="DO792:DS792"/>
    <mergeCell ref="DO787:DS787"/>
    <mergeCell ref="DO788:DS788"/>
    <mergeCell ref="X746:AB746"/>
    <mergeCell ref="CG739:CH739"/>
    <mergeCell ref="CG740:CH740"/>
    <mergeCell ref="CU750:CY750"/>
    <mergeCell ref="CK746:CL746"/>
    <mergeCell ref="CM746:CN746"/>
    <mergeCell ref="CK744:CL744"/>
    <mergeCell ref="CZ750:DD750"/>
    <mergeCell ref="EE795:EI795"/>
    <mergeCell ref="EE796:EI796"/>
    <mergeCell ref="EE797:EI797"/>
    <mergeCell ref="EO788:ES788"/>
    <mergeCell ref="EO789:ES789"/>
    <mergeCell ref="EO790:ES790"/>
    <mergeCell ref="EO791:ES791"/>
    <mergeCell ref="EO792:ES792"/>
    <mergeCell ref="EO793:ES793"/>
    <mergeCell ref="EO794:ES794"/>
    <mergeCell ref="EO795:ES795"/>
    <mergeCell ref="EO797:ES797"/>
    <mergeCell ref="EO796:ES796"/>
    <mergeCell ref="CI752:CJ752"/>
    <mergeCell ref="DO793:DS793"/>
    <mergeCell ref="DO794:DS794"/>
    <mergeCell ref="DO795:DS795"/>
    <mergeCell ref="DO796:DS796"/>
    <mergeCell ref="DO797:DS797"/>
    <mergeCell ref="CP789:CT789"/>
    <mergeCell ref="CP787:CT787"/>
    <mergeCell ref="CI753:CJ753"/>
    <mergeCell ref="CM753:CN753"/>
    <mergeCell ref="CP794:CT794"/>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CP791:CT791"/>
    <mergeCell ref="CP790:CT790"/>
    <mergeCell ref="DJ775:DN775"/>
    <mergeCell ref="DE787:DI787"/>
    <mergeCell ref="CZ794:DD794"/>
    <mergeCell ref="CZ795:DD795"/>
    <mergeCell ref="CZ796:DD796"/>
    <mergeCell ref="CZ797:DD797"/>
    <mergeCell ref="DE790:DI790"/>
    <mergeCell ref="DE791:DI791"/>
    <mergeCell ref="DE792:DI792"/>
    <mergeCell ref="DE793:DI793"/>
    <mergeCell ref="DE794:DI794"/>
    <mergeCell ref="CP777:CT777"/>
    <mergeCell ref="DJ792:DN792"/>
    <mergeCell ref="DJ793:DN793"/>
    <mergeCell ref="DJ794:DN794"/>
    <mergeCell ref="DJ795:DN795"/>
    <mergeCell ref="DJ796:DN796"/>
    <mergeCell ref="DJ797:DN797"/>
    <mergeCell ref="DO789:DS789"/>
    <mergeCell ref="DO790:DS790"/>
    <mergeCell ref="DO791:DS791"/>
    <mergeCell ref="CU788:CY788"/>
    <mergeCell ref="CU789:CY789"/>
    <mergeCell ref="CU790:CY790"/>
    <mergeCell ref="CU791:CY791"/>
    <mergeCell ref="CU792:CY792"/>
    <mergeCell ref="CU793:CY793"/>
    <mergeCell ref="CU794:CY794"/>
    <mergeCell ref="CU795:CY795"/>
    <mergeCell ref="CU796:CY796"/>
    <mergeCell ref="CU797:CY797"/>
    <mergeCell ref="CZ787:DD787"/>
    <mergeCell ref="CG749:CH749"/>
    <mergeCell ref="CP747:CT747"/>
    <mergeCell ref="CM744:CN744"/>
    <mergeCell ref="CP748:CT748"/>
    <mergeCell ref="CU787:CY787"/>
    <mergeCell ref="CU751:CY751"/>
    <mergeCell ref="CU748:CY748"/>
    <mergeCell ref="DO747:DS747"/>
    <mergeCell ref="CP773:CT773"/>
    <mergeCell ref="CU752:CY752"/>
    <mergeCell ref="CZ745:DD745"/>
    <mergeCell ref="DE745:DI745"/>
    <mergeCell ref="CU773:CY773"/>
    <mergeCell ref="CK751:CL751"/>
    <mergeCell ref="CP795:CT795"/>
    <mergeCell ref="CP796:CT796"/>
    <mergeCell ref="CP793:CT793"/>
    <mergeCell ref="CP792:CT792"/>
    <mergeCell ref="T744:W744"/>
    <mergeCell ref="CG737:CH737"/>
    <mergeCell ref="AH736:AJ736"/>
    <mergeCell ref="AC739:AG739"/>
    <mergeCell ref="AH739:AJ739"/>
    <mergeCell ref="AH740:AJ740"/>
    <mergeCell ref="CM739:CN739"/>
    <mergeCell ref="CK736:CL736"/>
    <mergeCell ref="CP734:CT734"/>
    <mergeCell ref="CG742:CH742"/>
    <mergeCell ref="CG743:CH743"/>
    <mergeCell ref="CK741:CL741"/>
    <mergeCell ref="CM741:CN741"/>
    <mergeCell ref="CK743:CL743"/>
    <mergeCell ref="CM743:CN743"/>
    <mergeCell ref="AK737:AO737"/>
    <mergeCell ref="X735:AB735"/>
    <mergeCell ref="T742:W742"/>
    <mergeCell ref="CP740:CT740"/>
    <mergeCell ref="CP737:CT737"/>
    <mergeCell ref="CG735:CH735"/>
    <mergeCell ref="X736:AB736"/>
    <mergeCell ref="T735:W735"/>
    <mergeCell ref="AK738:AO738"/>
    <mergeCell ref="AK741:AO741"/>
    <mergeCell ref="CM742:CN742"/>
    <mergeCell ref="AK743:AO743"/>
    <mergeCell ref="AK744:AO744"/>
    <mergeCell ref="X743:AB743"/>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K737:CL737"/>
    <mergeCell ref="CP750:CT750"/>
    <mergeCell ref="FJ746:FN746"/>
    <mergeCell ref="EZ743:FD743"/>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DE746:DI746"/>
    <mergeCell ref="FE746:FI746"/>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FY749:GC749"/>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DU741:DY741"/>
    <mergeCell ref="FT747:FX747"/>
    <mergeCell ref="FT742:FX742"/>
    <mergeCell ref="FY742:GC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EZ748:FD748"/>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Z742:FD742"/>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D472:V472"/>
    <mergeCell ref="W472:Y472"/>
    <mergeCell ref="AE551:AH553"/>
    <mergeCell ref="AI551:AL553"/>
    <mergeCell ref="AH510:AK510"/>
    <mergeCell ref="AI558:AL558"/>
    <mergeCell ref="Q557:S557"/>
    <mergeCell ref="Z557:AD557"/>
    <mergeCell ref="M562:P562"/>
    <mergeCell ref="AM557:AS557"/>
    <mergeCell ref="Z559:AD559"/>
    <mergeCell ref="C561:L561"/>
    <mergeCell ref="CM748:CN748"/>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I560:AL560"/>
    <mergeCell ref="G610:R610"/>
    <mergeCell ref="A617:AT618"/>
    <mergeCell ref="B624:L626"/>
    <mergeCell ref="Z613:AE613"/>
    <mergeCell ref="G611:R611"/>
    <mergeCell ref="AM560:AS560"/>
    <mergeCell ref="M627:P627"/>
    <mergeCell ref="T559:V559"/>
    <mergeCell ref="T557:V557"/>
    <mergeCell ref="AE558:AH558"/>
    <mergeCell ref="C557:L557"/>
    <mergeCell ref="M559:P559"/>
    <mergeCell ref="P605:R605"/>
    <mergeCell ref="H582:R582"/>
    <mergeCell ref="G721:J721"/>
    <mergeCell ref="Q558:S558"/>
    <mergeCell ref="M557:P557"/>
    <mergeCell ref="W561:Y561"/>
    <mergeCell ref="W562:Y562"/>
    <mergeCell ref="T565:V565"/>
    <mergeCell ref="M563:P563"/>
    <mergeCell ref="AI561:AL561"/>
    <mergeCell ref="Z562:AD562"/>
    <mergeCell ref="W557:Y557"/>
    <mergeCell ref="AE557:AH557"/>
    <mergeCell ref="S377:T377"/>
    <mergeCell ref="D437:AF437"/>
    <mergeCell ref="D442:AF442"/>
    <mergeCell ref="AF430:AG430"/>
    <mergeCell ref="AG437:AJ437"/>
    <mergeCell ref="C559:L559"/>
    <mergeCell ref="AC521:AF521"/>
    <mergeCell ref="Z558:AD558"/>
    <mergeCell ref="AH540:AK540"/>
    <mergeCell ref="AC515:AF515"/>
    <mergeCell ref="AC514:AF514"/>
    <mergeCell ref="AH538:AK538"/>
    <mergeCell ref="M558:P558"/>
    <mergeCell ref="Q559:S559"/>
    <mergeCell ref="O520:AA520"/>
    <mergeCell ref="AE555:AH555"/>
    <mergeCell ref="AH518:AK518"/>
    <mergeCell ref="AH514:AK514"/>
    <mergeCell ref="Q555:S555"/>
    <mergeCell ref="AH539:AK539"/>
    <mergeCell ref="AH541:AK541"/>
    <mergeCell ref="AC535:AF535"/>
    <mergeCell ref="AI554:AL554"/>
    <mergeCell ref="Q551:S553"/>
    <mergeCell ref="T551:V553"/>
    <mergeCell ref="M555:P555"/>
    <mergeCell ref="C555:L555"/>
    <mergeCell ref="C556:L556"/>
    <mergeCell ref="M556:P556"/>
    <mergeCell ref="AG443:AJ443"/>
    <mergeCell ref="AG444:AJ444"/>
    <mergeCell ref="AC541:AF541"/>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J388:U388"/>
    <mergeCell ref="AG449:AJ449"/>
    <mergeCell ref="AE425:AF425"/>
    <mergeCell ref="P418:R418"/>
    <mergeCell ref="Q492:AK492"/>
    <mergeCell ref="AF418:AH418"/>
    <mergeCell ref="D445:AF445"/>
    <mergeCell ref="P424:Q424"/>
    <mergeCell ref="R411:S411"/>
    <mergeCell ref="AH520:AK520"/>
    <mergeCell ref="Q389:U389"/>
    <mergeCell ref="AG395:AJ395"/>
    <mergeCell ref="AI392:AJ392"/>
    <mergeCell ref="AG394:AJ394"/>
    <mergeCell ref="E420:AJ420"/>
    <mergeCell ref="V377:W377"/>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AC536:AF536"/>
    <mergeCell ref="CG744:CH744"/>
    <mergeCell ref="CI744:CJ744"/>
    <mergeCell ref="CG750:CH750"/>
    <mergeCell ref="CI748:CJ748"/>
    <mergeCell ref="CI742:CJ742"/>
    <mergeCell ref="CK742:CL742"/>
    <mergeCell ref="W630:Y630"/>
    <mergeCell ref="AH745:AJ745"/>
    <mergeCell ref="AH746:AJ746"/>
    <mergeCell ref="AH747:AJ747"/>
    <mergeCell ref="AH748:AJ748"/>
    <mergeCell ref="Z659:AK659"/>
    <mergeCell ref="CG734:CH734"/>
    <mergeCell ref="CG733:CH733"/>
    <mergeCell ref="CI734:CJ734"/>
    <mergeCell ref="CI733:CJ733"/>
    <mergeCell ref="CI726:CJ726"/>
    <mergeCell ref="CG726:CH726"/>
    <mergeCell ref="AO636:AS636"/>
    <mergeCell ref="AO631:AS631"/>
    <mergeCell ref="CI741:CJ741"/>
    <mergeCell ref="CK739:CL739"/>
    <mergeCell ref="T748:W748"/>
    <mergeCell ref="X747:AB747"/>
    <mergeCell ref="AF638:AJ638"/>
    <mergeCell ref="Z655:AE655"/>
    <mergeCell ref="CG738:CH738"/>
    <mergeCell ref="CK738:CL738"/>
    <mergeCell ref="AO637:AS637"/>
    <mergeCell ref="AO640:AS640"/>
    <mergeCell ref="AK747:AO747"/>
    <mergeCell ref="AK735:AO735"/>
    <mergeCell ref="CG732:CH732"/>
    <mergeCell ref="T732:W732"/>
    <mergeCell ref="AK734:AO734"/>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K752:CL752"/>
    <mergeCell ref="CG748:CH748"/>
    <mergeCell ref="CI743:CJ743"/>
    <mergeCell ref="AH741:AJ741"/>
    <mergeCell ref="AK740:AO740"/>
    <mergeCell ref="CP751:CT751"/>
    <mergeCell ref="CM751:CN751"/>
    <mergeCell ref="CM722:CN722"/>
    <mergeCell ref="CG722:CH722"/>
    <mergeCell ref="CI738:CJ738"/>
    <mergeCell ref="CP728:CT728"/>
    <mergeCell ref="CM724:CN724"/>
    <mergeCell ref="X744:AB744"/>
    <mergeCell ref="AH743:AJ743"/>
    <mergeCell ref="AH744:AJ744"/>
    <mergeCell ref="X738:AB738"/>
    <mergeCell ref="C630:L630"/>
    <mergeCell ref="C631:L631"/>
    <mergeCell ref="C632:L632"/>
    <mergeCell ref="B722:F722"/>
    <mergeCell ref="AG673:AH673"/>
    <mergeCell ref="B728:F728"/>
    <mergeCell ref="B725:F725"/>
    <mergeCell ref="B724:F724"/>
    <mergeCell ref="B727:F727"/>
    <mergeCell ref="H680:R680"/>
    <mergeCell ref="M637:P637"/>
    <mergeCell ref="M638:P638"/>
    <mergeCell ref="W638:Y638"/>
    <mergeCell ref="Z654:AK654"/>
    <mergeCell ref="P647:R647"/>
    <mergeCell ref="AI647:AK647"/>
    <mergeCell ref="G654:R654"/>
    <mergeCell ref="G653:R653"/>
    <mergeCell ref="AE696:AI696"/>
    <mergeCell ref="K714:N717"/>
    <mergeCell ref="AK634:AN634"/>
    <mergeCell ref="AK635:AN635"/>
    <mergeCell ref="G722:J722"/>
    <mergeCell ref="Z669:AK669"/>
    <mergeCell ref="E707:AK707"/>
    <mergeCell ref="W706:AK706"/>
    <mergeCell ref="N673:O673"/>
    <mergeCell ref="G687:L687"/>
    <mergeCell ref="Z677:AK677"/>
    <mergeCell ref="AH727:AJ727"/>
    <mergeCell ref="G646:R646"/>
    <mergeCell ref="Z652:AK652"/>
    <mergeCell ref="G714:J717"/>
    <mergeCell ref="G668:R668"/>
    <mergeCell ref="CU726:CY726"/>
    <mergeCell ref="CZ726:DD726"/>
    <mergeCell ref="CK722:CL722"/>
    <mergeCell ref="AG689:AH689"/>
    <mergeCell ref="CK719:CL719"/>
    <mergeCell ref="CG724:CH724"/>
    <mergeCell ref="AJ356:AK356"/>
    <mergeCell ref="AD377:AE377"/>
    <mergeCell ref="AC371:AF371"/>
    <mergeCell ref="AG438:AJ438"/>
    <mergeCell ref="D406:AJ407"/>
    <mergeCell ref="D438:AF438"/>
    <mergeCell ref="Z434:AA434"/>
    <mergeCell ref="V381:W381"/>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U255:W255"/>
    <mergeCell ref="D443:AF443"/>
    <mergeCell ref="AA298:AK298"/>
    <mergeCell ref="AA292:AF292"/>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F150:T150"/>
    <mergeCell ref="M238:T238"/>
    <mergeCell ref="W253:X253"/>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P307:R307"/>
    <mergeCell ref="AF259:AK259"/>
    <mergeCell ref="AC261:AE261"/>
    <mergeCell ref="M262:AE262"/>
    <mergeCell ref="AA299:AF299"/>
    <mergeCell ref="AI299:AK299"/>
    <mergeCell ref="AA300:AF300"/>
    <mergeCell ref="W261:X261"/>
    <mergeCell ref="U263:W263"/>
    <mergeCell ref="M257:T257"/>
    <mergeCell ref="T278:V278"/>
    <mergeCell ref="P291:R291"/>
    <mergeCell ref="AA287:AK287"/>
    <mergeCell ref="L279:AD279"/>
    <mergeCell ref="L278:Q278"/>
    <mergeCell ref="AA289:AK289"/>
    <mergeCell ref="H293:R293"/>
    <mergeCell ref="AA295:AK295"/>
    <mergeCell ref="H305:R305"/>
    <mergeCell ref="M259:AE259"/>
    <mergeCell ref="H301:R301"/>
    <mergeCell ref="H303:R303"/>
    <mergeCell ref="P299:R299"/>
    <mergeCell ref="H295:R295"/>
    <mergeCell ref="H298:R298"/>
    <mergeCell ref="H296:R296"/>
    <mergeCell ref="H297:R297"/>
    <mergeCell ref="H299:M299"/>
    <mergeCell ref="H300:M300"/>
    <mergeCell ref="H292:M292"/>
    <mergeCell ref="AA288:AK288"/>
    <mergeCell ref="H287:R287"/>
    <mergeCell ref="AF251:AK251"/>
    <mergeCell ref="M265:T265"/>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A83:AT84"/>
    <mergeCell ref="T199:U199"/>
    <mergeCell ref="AC234:AE234"/>
    <mergeCell ref="M233:AE233"/>
    <mergeCell ref="N191:AE192"/>
    <mergeCell ref="D211:M211"/>
    <mergeCell ref="AI228:AJ228"/>
    <mergeCell ref="M235:AE235"/>
    <mergeCell ref="I185:AE185"/>
    <mergeCell ref="U236:W236"/>
    <mergeCell ref="D204:M204"/>
    <mergeCell ref="T197:U197"/>
    <mergeCell ref="T189:AE189"/>
    <mergeCell ref="Y120:AK120"/>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U247:W247"/>
    <mergeCell ref="T196:U196"/>
    <mergeCell ref="D220:Z220"/>
    <mergeCell ref="T193:AI193"/>
    <mergeCell ref="AI227:AJ227"/>
    <mergeCell ref="Y123:AK123"/>
    <mergeCell ref="M237:AE237"/>
    <mergeCell ref="AA249:AK249"/>
    <mergeCell ref="M248:AE248"/>
    <mergeCell ref="P113:S113"/>
    <mergeCell ref="AF243:AK243"/>
    <mergeCell ref="O160:T160"/>
    <mergeCell ref="AI178:AK178"/>
    <mergeCell ref="M234:T234"/>
    <mergeCell ref="W234:X234"/>
    <mergeCell ref="T212:U212"/>
    <mergeCell ref="M244:AE244"/>
    <mergeCell ref="M247:R247"/>
    <mergeCell ref="O159:T159"/>
    <mergeCell ref="P205:U205"/>
    <mergeCell ref="M239:AE239"/>
    <mergeCell ref="AF178:AG178"/>
    <mergeCell ref="I190:N190"/>
    <mergeCell ref="M245:T245"/>
    <mergeCell ref="M246:AE246"/>
    <mergeCell ref="AC245:AE245"/>
    <mergeCell ref="X176:Y176"/>
    <mergeCell ref="AI226:AJ226"/>
    <mergeCell ref="D208:M208"/>
    <mergeCell ref="U176:V176"/>
    <mergeCell ref="AA238:AK238"/>
    <mergeCell ref="M251:AE251"/>
    <mergeCell ref="X180:Y180"/>
    <mergeCell ref="AP205:AQ205"/>
    <mergeCell ref="AI229:AJ229"/>
    <mergeCell ref="U175:V175"/>
    <mergeCell ref="R177:S177"/>
    <mergeCell ref="M243:AE243"/>
    <mergeCell ref="M252:AE252"/>
    <mergeCell ref="M264:AE264"/>
    <mergeCell ref="AB276:AD276"/>
    <mergeCell ref="Y278:AD278"/>
    <mergeCell ref="M263:R263"/>
    <mergeCell ref="H414:AE415"/>
    <mergeCell ref="AA308:AF308"/>
    <mergeCell ref="M254:AE254"/>
    <mergeCell ref="AA290:AK290"/>
    <mergeCell ref="AH262:AK262"/>
    <mergeCell ref="T267:X267"/>
    <mergeCell ref="AA291:AF291"/>
    <mergeCell ref="AI291:AK291"/>
    <mergeCell ref="H320:R320"/>
    <mergeCell ref="H323:M323"/>
    <mergeCell ref="AA330:AK330"/>
    <mergeCell ref="H324:M324"/>
    <mergeCell ref="H321:R321"/>
    <mergeCell ref="H322:R322"/>
    <mergeCell ref="L276:S276"/>
    <mergeCell ref="AH254:AK254"/>
    <mergeCell ref="M249:T249"/>
    <mergeCell ref="Z247:AE247"/>
    <mergeCell ref="W245:X245"/>
    <mergeCell ref="AA332:AF332"/>
    <mergeCell ref="AA328:AK328"/>
    <mergeCell ref="AA327:AK327"/>
    <mergeCell ref="H332:M332"/>
    <mergeCell ref="AI315:AK315"/>
    <mergeCell ref="AA312:AK312"/>
    <mergeCell ref="AA329:AK329"/>
    <mergeCell ref="H325:R325"/>
    <mergeCell ref="H329:R329"/>
    <mergeCell ref="H330:R330"/>
    <mergeCell ref="P331:R331"/>
    <mergeCell ref="AA331:AF331"/>
    <mergeCell ref="P315:R315"/>
    <mergeCell ref="N363:O363"/>
    <mergeCell ref="AA337:AK337"/>
    <mergeCell ref="H327:R327"/>
    <mergeCell ref="AA304:AK304"/>
    <mergeCell ref="AA309:AK309"/>
    <mergeCell ref="AA307:AF307"/>
    <mergeCell ref="AA305:AK305"/>
    <mergeCell ref="AA317:AK317"/>
    <mergeCell ref="P349:AE349"/>
    <mergeCell ref="AJ357:AK357"/>
    <mergeCell ref="AA336:AK336"/>
    <mergeCell ref="H333:R333"/>
    <mergeCell ref="H304:R304"/>
    <mergeCell ref="H306:R306"/>
    <mergeCell ref="M356:N356"/>
    <mergeCell ref="H308:M308"/>
    <mergeCell ref="H307:M307"/>
    <mergeCell ref="H309:R309"/>
    <mergeCell ref="H311:R311"/>
    <mergeCell ref="M253:T253"/>
    <mergeCell ref="L274:AJ274"/>
    <mergeCell ref="H289:R289"/>
    <mergeCell ref="H291:M291"/>
    <mergeCell ref="AA257:AK257"/>
    <mergeCell ref="M260:AE260"/>
    <mergeCell ref="AA265:AK265"/>
    <mergeCell ref="M261:T261"/>
    <mergeCell ref="AI307:AK307"/>
    <mergeCell ref="AA324:AF324"/>
    <mergeCell ref="H328:R328"/>
    <mergeCell ref="AI323:AK323"/>
    <mergeCell ref="P323:R323"/>
    <mergeCell ref="AA315:AF315"/>
    <mergeCell ref="AA314:AK314"/>
    <mergeCell ref="AA313:AK313"/>
    <mergeCell ref="H319:R319"/>
    <mergeCell ref="AA316:AF316"/>
    <mergeCell ref="AA297:AK297"/>
    <mergeCell ref="H288:R288"/>
    <mergeCell ref="AA293:AK293"/>
    <mergeCell ref="L280:AD280"/>
    <mergeCell ref="L275:AD275"/>
    <mergeCell ref="H290:R290"/>
    <mergeCell ref="V276:W276"/>
    <mergeCell ref="AA301:AK301"/>
    <mergeCell ref="AA296:AK296"/>
    <mergeCell ref="L277:AD277"/>
    <mergeCell ref="Z255:AE255"/>
    <mergeCell ref="M255:R255"/>
    <mergeCell ref="A282:AT283"/>
    <mergeCell ref="M256:AE2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P339:R339"/>
    <mergeCell ref="AA341:AK341"/>
    <mergeCell ref="E368:AH369"/>
    <mergeCell ref="Q365:AG365"/>
    <mergeCell ref="H340:M340"/>
    <mergeCell ref="S402:U402"/>
    <mergeCell ref="M358:N358"/>
    <mergeCell ref="AH519:AK519"/>
    <mergeCell ref="AH521:AK521"/>
    <mergeCell ref="AA339:AF339"/>
    <mergeCell ref="S489:AK490"/>
    <mergeCell ref="AC537:AF537"/>
    <mergeCell ref="W556:Y556"/>
    <mergeCell ref="Q556:S556"/>
    <mergeCell ref="C554:L554"/>
    <mergeCell ref="D446:AF446"/>
    <mergeCell ref="D447:AF447"/>
    <mergeCell ref="W466:Y466"/>
    <mergeCell ref="AG446:AJ446"/>
    <mergeCell ref="W467:Y467"/>
    <mergeCell ref="W470:Y470"/>
    <mergeCell ref="D471:V471"/>
    <mergeCell ref="O532:AA532"/>
    <mergeCell ref="B551:L553"/>
    <mergeCell ref="AH536:AK536"/>
    <mergeCell ref="AH505:AK505"/>
    <mergeCell ref="AG448:AJ448"/>
    <mergeCell ref="Q493:AK493"/>
    <mergeCell ref="AC502:AF502"/>
    <mergeCell ref="M495:P495"/>
    <mergeCell ref="AC501:AF501"/>
    <mergeCell ref="B501:H502"/>
    <mergeCell ref="O523:AA523"/>
    <mergeCell ref="O529:AA529"/>
    <mergeCell ref="AH533:AK533"/>
    <mergeCell ref="D448:AF448"/>
    <mergeCell ref="D468:V468"/>
    <mergeCell ref="AC512:AF512"/>
    <mergeCell ref="AC542:AF542"/>
    <mergeCell ref="B489:P490"/>
    <mergeCell ref="AC504:AF504"/>
    <mergeCell ref="D470:V470"/>
    <mergeCell ref="B514:H516"/>
    <mergeCell ref="B517:H519"/>
    <mergeCell ref="AE554:AH554"/>
    <mergeCell ref="I421:K421"/>
    <mergeCell ref="AH524:AK524"/>
    <mergeCell ref="AH525:AK525"/>
    <mergeCell ref="AC506:AF506"/>
    <mergeCell ref="Q489:R490"/>
    <mergeCell ref="Q488:AK488"/>
    <mergeCell ref="AH535:AK535"/>
    <mergeCell ref="AC532:AF532"/>
    <mergeCell ref="Z551:AD553"/>
    <mergeCell ref="AH513:AK513"/>
    <mergeCell ref="AC531:AF531"/>
    <mergeCell ref="AC539:AF539"/>
    <mergeCell ref="L508:AB508"/>
    <mergeCell ref="AH526:AK526"/>
    <mergeCell ref="W465:Y465"/>
    <mergeCell ref="D449:AF449"/>
    <mergeCell ref="Q554:S554"/>
    <mergeCell ref="AH529:AK529"/>
    <mergeCell ref="D451:AJ452"/>
    <mergeCell ref="AH512:AK512"/>
    <mergeCell ref="AH534:AK534"/>
    <mergeCell ref="AC510:AF510"/>
    <mergeCell ref="AC528:AF528"/>
    <mergeCell ref="M551:P553"/>
    <mergeCell ref="D440:AF440"/>
    <mergeCell ref="AC526:AF526"/>
    <mergeCell ref="AH503:AK503"/>
    <mergeCell ref="AC500:AF500"/>
    <mergeCell ref="AH532:AK532"/>
    <mergeCell ref="AC522:AF522"/>
    <mergeCell ref="T554:V554"/>
    <mergeCell ref="O526:AA526"/>
    <mergeCell ref="AC529:AF529"/>
    <mergeCell ref="AH530:AK530"/>
    <mergeCell ref="Z556:AD556"/>
    <mergeCell ref="AI555:AL555"/>
    <mergeCell ref="T558:V558"/>
    <mergeCell ref="W469:Y469"/>
    <mergeCell ref="AH515:AK515"/>
    <mergeCell ref="AC516:AF516"/>
    <mergeCell ref="AE556:AH556"/>
    <mergeCell ref="D444:AF444"/>
    <mergeCell ref="AH528:AK528"/>
    <mergeCell ref="W554:Y554"/>
    <mergeCell ref="W555:Y555"/>
    <mergeCell ref="AH527:AK527"/>
    <mergeCell ref="AC517:AF517"/>
    <mergeCell ref="D473:V473"/>
    <mergeCell ref="AH501:AK501"/>
    <mergeCell ref="G474:V474"/>
    <mergeCell ref="M554:P554"/>
    <mergeCell ref="T556:V556"/>
    <mergeCell ref="AC520:AF520"/>
    <mergeCell ref="AC527:AF527"/>
    <mergeCell ref="W551:Y553"/>
    <mergeCell ref="AI556:AL556"/>
    <mergeCell ref="AH504:AK504"/>
    <mergeCell ref="AH517:AK517"/>
    <mergeCell ref="AC530:AF530"/>
    <mergeCell ref="Z555:AD555"/>
    <mergeCell ref="O535:AA535"/>
    <mergeCell ref="AH523:AK523"/>
    <mergeCell ref="AC503:AF503"/>
    <mergeCell ref="Z560:AD560"/>
    <mergeCell ref="AI563:AL563"/>
    <mergeCell ref="Z563:AD563"/>
    <mergeCell ref="T560:V560"/>
    <mergeCell ref="G570:R570"/>
    <mergeCell ref="Z561:AD561"/>
    <mergeCell ref="G586:R586"/>
    <mergeCell ref="W560:Y560"/>
    <mergeCell ref="P572:R572"/>
    <mergeCell ref="M560:P560"/>
    <mergeCell ref="Q563:S563"/>
    <mergeCell ref="AI565:AL565"/>
    <mergeCell ref="AE562:AH562"/>
    <mergeCell ref="Q562:S562"/>
    <mergeCell ref="G568:R568"/>
    <mergeCell ref="M574:R574"/>
    <mergeCell ref="AI564:AL564"/>
    <mergeCell ref="Z580:AK580"/>
    <mergeCell ref="Z578:AK578"/>
    <mergeCell ref="T561:V561"/>
    <mergeCell ref="AI562:AL562"/>
    <mergeCell ref="G585:R585"/>
    <mergeCell ref="AG575:AH575"/>
    <mergeCell ref="Q560:S560"/>
    <mergeCell ref="Q565:S565"/>
    <mergeCell ref="Q561:S561"/>
    <mergeCell ref="C562:L562"/>
    <mergeCell ref="M561:P561"/>
    <mergeCell ref="T562:V562"/>
    <mergeCell ref="Z568:AK568"/>
    <mergeCell ref="AA582:AK582"/>
    <mergeCell ref="AC513:AF513"/>
    <mergeCell ref="AC518:AF518"/>
    <mergeCell ref="Z571:AK571"/>
    <mergeCell ref="W471:Y471"/>
    <mergeCell ref="AF574:AK574"/>
    <mergeCell ref="C565:L565"/>
    <mergeCell ref="W558:Y558"/>
    <mergeCell ref="Y801:AC801"/>
    <mergeCell ref="Y800:AC800"/>
    <mergeCell ref="T741:W741"/>
    <mergeCell ref="AC796:AG796"/>
    <mergeCell ref="AC788:AG788"/>
    <mergeCell ref="G738:J738"/>
    <mergeCell ref="O783:S786"/>
    <mergeCell ref="M825:P825"/>
    <mergeCell ref="AK746:AO746"/>
    <mergeCell ref="O735:S735"/>
    <mergeCell ref="T738:W738"/>
    <mergeCell ref="AE560:AH560"/>
    <mergeCell ref="N575:O575"/>
    <mergeCell ref="Z594:AK594"/>
    <mergeCell ref="Z610:AK610"/>
    <mergeCell ref="AF628:AJ628"/>
    <mergeCell ref="N599:O599"/>
    <mergeCell ref="AA590:AK590"/>
    <mergeCell ref="AI589:AK589"/>
    <mergeCell ref="Z596:AK596"/>
    <mergeCell ref="H598:R598"/>
    <mergeCell ref="AG583:AH583"/>
    <mergeCell ref="G588:R588"/>
    <mergeCell ref="C560:L560"/>
    <mergeCell ref="G670:R670"/>
    <mergeCell ref="B742:F742"/>
    <mergeCell ref="AK748:AO748"/>
    <mergeCell ref="X748:AB748"/>
    <mergeCell ref="X749:AB749"/>
    <mergeCell ref="G739:J739"/>
    <mergeCell ref="X741:AB741"/>
    <mergeCell ref="P687:R687"/>
    <mergeCell ref="R705:T705"/>
    <mergeCell ref="B736:F736"/>
    <mergeCell ref="B733:F733"/>
    <mergeCell ref="B731:F731"/>
    <mergeCell ref="G683:R683"/>
    <mergeCell ref="N681:O681"/>
    <mergeCell ref="X719:AB719"/>
    <mergeCell ref="G686:R686"/>
    <mergeCell ref="N689:O689"/>
    <mergeCell ref="G678:R678"/>
    <mergeCell ref="P679:R679"/>
    <mergeCell ref="AH730:AJ730"/>
    <mergeCell ref="AK732:AO732"/>
    <mergeCell ref="B730:F730"/>
    <mergeCell ref="AH735:AJ735"/>
    <mergeCell ref="AE698:AI698"/>
    <mergeCell ref="AC714:AG717"/>
    <mergeCell ref="AK727:AO727"/>
    <mergeCell ref="AH724:AJ724"/>
    <mergeCell ref="G727:J727"/>
    <mergeCell ref="AH726:AJ726"/>
    <mergeCell ref="O727:S727"/>
    <mergeCell ref="K745:N745"/>
    <mergeCell ref="AK745:AO745"/>
    <mergeCell ref="T745:W745"/>
    <mergeCell ref="X789:AB789"/>
    <mergeCell ref="O788:S788"/>
    <mergeCell ref="AC789:AG789"/>
    <mergeCell ref="AC790:AG790"/>
    <mergeCell ref="O752:S752"/>
    <mergeCell ref="J789:N789"/>
    <mergeCell ref="X795:AB795"/>
    <mergeCell ref="K751:N751"/>
    <mergeCell ref="O751:S751"/>
    <mergeCell ref="AK728:AO728"/>
    <mergeCell ref="AK729:AO729"/>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AC774:AG774"/>
    <mergeCell ref="X777:AB777"/>
    <mergeCell ref="O730:S730"/>
    <mergeCell ref="AC794:AG794"/>
    <mergeCell ref="AC795:AG795"/>
    <mergeCell ref="O748:S748"/>
    <mergeCell ref="K752:N752"/>
    <mergeCell ref="J774:N774"/>
    <mergeCell ref="O756:R756"/>
    <mergeCell ref="C825:H825"/>
    <mergeCell ref="K729:N729"/>
    <mergeCell ref="U826:X826"/>
    <mergeCell ref="X794:AB794"/>
    <mergeCell ref="O714:S717"/>
    <mergeCell ref="M828:P828"/>
    <mergeCell ref="M827:P827"/>
    <mergeCell ref="J797:N797"/>
    <mergeCell ref="J795:N795"/>
    <mergeCell ref="X714:AB717"/>
    <mergeCell ref="O797:S797"/>
    <mergeCell ref="Q827:T827"/>
    <mergeCell ref="O793:S793"/>
    <mergeCell ref="J790:N790"/>
    <mergeCell ref="Z818:AE818"/>
    <mergeCell ref="T795:W795"/>
    <mergeCell ref="U828:X828"/>
    <mergeCell ref="O721:S721"/>
    <mergeCell ref="K722:N722"/>
    <mergeCell ref="O725:S725"/>
    <mergeCell ref="O726:S726"/>
    <mergeCell ref="G723:J723"/>
    <mergeCell ref="T776:W776"/>
    <mergeCell ref="T774:W774"/>
    <mergeCell ref="J779:K779"/>
    <mergeCell ref="J787:N787"/>
    <mergeCell ref="G724:J724"/>
    <mergeCell ref="T729:W729"/>
    <mergeCell ref="J794:N794"/>
    <mergeCell ref="Z813:AE813"/>
    <mergeCell ref="C798:AN799"/>
    <mergeCell ref="J793:N793"/>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O741:S741"/>
    <mergeCell ref="AH728:AJ728"/>
    <mergeCell ref="B741:F741"/>
    <mergeCell ref="G731:J731"/>
    <mergeCell ref="B729:F729"/>
    <mergeCell ref="T731:W731"/>
    <mergeCell ref="O795:S795"/>
    <mergeCell ref="AC791:AG791"/>
    <mergeCell ref="T796:W796"/>
    <mergeCell ref="C828:H82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AG828:AJ828"/>
    <mergeCell ref="Q829:T829"/>
    <mergeCell ref="T791:W791"/>
    <mergeCell ref="T787:W787"/>
    <mergeCell ref="T788:W788"/>
    <mergeCell ref="T789:W789"/>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M877:V877"/>
    <mergeCell ref="W869:AC869"/>
    <mergeCell ref="C892:AB892"/>
    <mergeCell ref="E885:AB885"/>
    <mergeCell ref="AC889:AH889"/>
    <mergeCell ref="AC894:AH894"/>
    <mergeCell ref="Z899:AE899"/>
    <mergeCell ref="AC888:AH888"/>
    <mergeCell ref="AA931:AF931"/>
    <mergeCell ref="U932:Z932"/>
    <mergeCell ref="AA932:AF932"/>
    <mergeCell ref="F938:T938"/>
    <mergeCell ref="AC892:AH892"/>
    <mergeCell ref="U926:Z926"/>
    <mergeCell ref="AA926:AF926"/>
    <mergeCell ref="U927:Z927"/>
    <mergeCell ref="AA927:AF927"/>
    <mergeCell ref="AA938:AF938"/>
    <mergeCell ref="U923:Z923"/>
    <mergeCell ref="BD902:BE902"/>
    <mergeCell ref="BD900:BE900"/>
    <mergeCell ref="BD904:BE904"/>
    <mergeCell ref="BD906:BF906"/>
    <mergeCell ref="BD905:BF905"/>
    <mergeCell ref="BD910:BE910"/>
    <mergeCell ref="BD903:BE903"/>
    <mergeCell ref="F937:T937"/>
    <mergeCell ref="AG830:AJ830"/>
    <mergeCell ref="U832:X832"/>
    <mergeCell ref="M832:P832"/>
    <mergeCell ref="W866:AC866"/>
    <mergeCell ref="W859:AC859"/>
    <mergeCell ref="W849:AC849"/>
    <mergeCell ref="M823:P824"/>
    <mergeCell ref="Y827:AB827"/>
    <mergeCell ref="AG827:AJ827"/>
    <mergeCell ref="U920:Z920"/>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AC828:AF828"/>
    <mergeCell ref="AG829:AJ829"/>
    <mergeCell ref="AG826:AJ826"/>
    <mergeCell ref="AG825:AJ825"/>
    <mergeCell ref="W851:AC851"/>
    <mergeCell ref="W855:AC855"/>
    <mergeCell ref="W852:AC852"/>
    <mergeCell ref="W854:AC854"/>
    <mergeCell ref="W874:AC874"/>
    <mergeCell ref="N649:O649"/>
    <mergeCell ref="AH719:AJ719"/>
    <mergeCell ref="G679:L679"/>
    <mergeCell ref="Z662:AK662"/>
    <mergeCell ref="G651:R651"/>
    <mergeCell ref="G652:R652"/>
    <mergeCell ref="T721:W721"/>
    <mergeCell ref="AE695:AI695"/>
    <mergeCell ref="X721:AB721"/>
    <mergeCell ref="G677:R677"/>
    <mergeCell ref="Z678:AK678"/>
    <mergeCell ref="P663:R663"/>
    <mergeCell ref="J704:X704"/>
    <mergeCell ref="K720:N720"/>
    <mergeCell ref="T714:W717"/>
    <mergeCell ref="H664:R664"/>
    <mergeCell ref="Z660:AK660"/>
    <mergeCell ref="G663:L663"/>
    <mergeCell ref="G662:R662"/>
    <mergeCell ref="G671:L671"/>
    <mergeCell ref="H672:R672"/>
    <mergeCell ref="P655:R655"/>
    <mergeCell ref="G660:R660"/>
    <mergeCell ref="G661:R661"/>
    <mergeCell ref="G685:R685"/>
    <mergeCell ref="K718:N718"/>
    <mergeCell ref="K721:N721"/>
    <mergeCell ref="Z686:AK686"/>
    <mergeCell ref="Z675:AK675"/>
    <mergeCell ref="AE694:AF694"/>
    <mergeCell ref="A709:AT711"/>
    <mergeCell ref="T719:W719"/>
    <mergeCell ref="AG681:AH681"/>
    <mergeCell ref="X722:AB722"/>
    <mergeCell ref="Z685:AK685"/>
    <mergeCell ref="AG657:AH657"/>
    <mergeCell ref="G669:R669"/>
    <mergeCell ref="T718:W718"/>
    <mergeCell ref="G675:R675"/>
    <mergeCell ref="Z679:AE679"/>
    <mergeCell ref="Z670:AK670"/>
    <mergeCell ref="G718:J718"/>
    <mergeCell ref="T722:W722"/>
    <mergeCell ref="G720:J720"/>
    <mergeCell ref="O718:S718"/>
    <mergeCell ref="DE722:DI722"/>
    <mergeCell ref="K725:N725"/>
    <mergeCell ref="X720:AB720"/>
    <mergeCell ref="CM735:CN735"/>
    <mergeCell ref="CM720:CN720"/>
    <mergeCell ref="CP720:CT720"/>
    <mergeCell ref="CI720:CJ720"/>
    <mergeCell ref="CU720:CY720"/>
    <mergeCell ref="CU723:CY723"/>
    <mergeCell ref="T727:W727"/>
    <mergeCell ref="G725:J725"/>
    <mergeCell ref="K723:N723"/>
    <mergeCell ref="T723:W723"/>
    <mergeCell ref="G730:J730"/>
    <mergeCell ref="X730:AB730"/>
    <mergeCell ref="X731:AB731"/>
    <mergeCell ref="AH732:AJ732"/>
    <mergeCell ref="AK730:AO730"/>
    <mergeCell ref="O723:S723"/>
    <mergeCell ref="CZ744:DD744"/>
    <mergeCell ref="T720:W720"/>
    <mergeCell ref="CM728:CN728"/>
    <mergeCell ref="DE743:DI743"/>
    <mergeCell ref="CI750:CJ750"/>
    <mergeCell ref="CK748:CL748"/>
    <mergeCell ref="CZ736:DD736"/>
    <mergeCell ref="CM731:CN731"/>
    <mergeCell ref="CU731:CY731"/>
    <mergeCell ref="CM727:CN727"/>
    <mergeCell ref="DE732:DI732"/>
    <mergeCell ref="CM732:CN732"/>
    <mergeCell ref="CP724:CT724"/>
    <mergeCell ref="CP727:CT727"/>
    <mergeCell ref="CI727:CJ727"/>
    <mergeCell ref="CZ735:DD735"/>
    <mergeCell ref="CU734:CY734"/>
    <mergeCell ref="CP736:CT736"/>
    <mergeCell ref="CM737:CN737"/>
    <mergeCell ref="CU737:CY737"/>
    <mergeCell ref="CZ738:DD738"/>
    <mergeCell ref="CM736:CN736"/>
    <mergeCell ref="DE739:DI739"/>
    <mergeCell ref="AC722:AG722"/>
    <mergeCell ref="AH720:AJ720"/>
    <mergeCell ref="AK722:AO722"/>
    <mergeCell ref="AH721:AJ721"/>
    <mergeCell ref="X723:AB723"/>
    <mergeCell ref="T725:W725"/>
    <mergeCell ref="CG730:CH730"/>
    <mergeCell ref="CG728:CH728"/>
    <mergeCell ref="CP739:CT739"/>
    <mergeCell ref="DE731:DI731"/>
    <mergeCell ref="CM726:CN726"/>
    <mergeCell ref="CP726:CT726"/>
    <mergeCell ref="DE729:DI729"/>
    <mergeCell ref="CU733:CY733"/>
    <mergeCell ref="CU728:CY728"/>
    <mergeCell ref="CK732:CL732"/>
    <mergeCell ref="CZ729:DD729"/>
    <mergeCell ref="CZ727:DD727"/>
    <mergeCell ref="CM733:CN733"/>
    <mergeCell ref="CM725:CN725"/>
    <mergeCell ref="DE727:DI727"/>
    <mergeCell ref="CZ741:DD741"/>
    <mergeCell ref="AC736:AG736"/>
    <mergeCell ref="CG729:CH729"/>
    <mergeCell ref="CU740:CY740"/>
    <mergeCell ref="CI739:CJ739"/>
    <mergeCell ref="CK725:CL725"/>
    <mergeCell ref="CI729:CJ729"/>
    <mergeCell ref="CZ733:DD733"/>
    <mergeCell ref="CM738:CN738"/>
    <mergeCell ref="CZ732:DD732"/>
    <mergeCell ref="CI732:CJ732"/>
    <mergeCell ref="DE734:DI734"/>
    <mergeCell ref="CZ725:DD725"/>
    <mergeCell ref="DJ735:DN735"/>
    <mergeCell ref="CG727:CH727"/>
    <mergeCell ref="CZ728:DD728"/>
    <mergeCell ref="CU730:CY730"/>
    <mergeCell ref="CK728:CL728"/>
    <mergeCell ref="CZ731:DD731"/>
    <mergeCell ref="CK731:CL731"/>
    <mergeCell ref="CK729:CL729"/>
    <mergeCell ref="DJ727:DN727"/>
    <mergeCell ref="DE728:DI728"/>
    <mergeCell ref="CP733:CT733"/>
    <mergeCell ref="CK735:CL735"/>
    <mergeCell ref="CP732:CT732"/>
    <mergeCell ref="CM729:CN729"/>
    <mergeCell ref="DJ733:DN733"/>
    <mergeCell ref="CK730:CL730"/>
    <mergeCell ref="CP731:CT731"/>
    <mergeCell ref="CZ734:DD734"/>
    <mergeCell ref="CI735:CJ735"/>
    <mergeCell ref="CU729:CY729"/>
    <mergeCell ref="DJ731:DN731"/>
    <mergeCell ref="DJ729:DN729"/>
    <mergeCell ref="DJ730:DN730"/>
    <mergeCell ref="CI731:CJ731"/>
    <mergeCell ref="CI728:CJ728"/>
    <mergeCell ref="CP729:CT729"/>
    <mergeCell ref="CK734:CL734"/>
    <mergeCell ref="CM734:CN734"/>
    <mergeCell ref="DJ734:DN734"/>
    <mergeCell ref="CU727:CY727"/>
    <mergeCell ref="AK637:AN637"/>
    <mergeCell ref="DJ726:DN726"/>
    <mergeCell ref="CU724:CY724"/>
    <mergeCell ref="CU725:CY725"/>
    <mergeCell ref="CI725:CJ725"/>
    <mergeCell ref="CP730:CT730"/>
    <mergeCell ref="CM723:CN723"/>
    <mergeCell ref="CZ723:DD723"/>
    <mergeCell ref="CI723:CJ723"/>
    <mergeCell ref="CG723:CH723"/>
    <mergeCell ref="CG720:CH720"/>
    <mergeCell ref="CI719:CJ719"/>
    <mergeCell ref="CP719:CT719"/>
    <mergeCell ref="CG719:CH719"/>
    <mergeCell ref="CI721:CJ721"/>
    <mergeCell ref="Q638:S638"/>
    <mergeCell ref="H648:R648"/>
    <mergeCell ref="G719:J719"/>
    <mergeCell ref="AC718:AG718"/>
    <mergeCell ref="AK714:AO717"/>
    <mergeCell ref="AK718:AO718"/>
    <mergeCell ref="AA664:AK664"/>
    <mergeCell ref="DE726:DI726"/>
    <mergeCell ref="CZ724:DD724"/>
    <mergeCell ref="CK726:CL726"/>
    <mergeCell ref="AG665:AH665"/>
    <mergeCell ref="Z661:AK661"/>
    <mergeCell ref="CK724:CL724"/>
    <mergeCell ref="DE730:DI730"/>
    <mergeCell ref="CM730:CN730"/>
    <mergeCell ref="CK727:CL727"/>
    <mergeCell ref="CP723:CT723"/>
    <mergeCell ref="AK636:AN636"/>
    <mergeCell ref="C637:L637"/>
    <mergeCell ref="C564:L564"/>
    <mergeCell ref="M564:P564"/>
    <mergeCell ref="H590:R590"/>
    <mergeCell ref="G612:R612"/>
    <mergeCell ref="Z635:AB635"/>
    <mergeCell ref="G609:R609"/>
    <mergeCell ref="N615:O615"/>
    <mergeCell ref="M628:P628"/>
    <mergeCell ref="M633:P633"/>
    <mergeCell ref="Z605:AE605"/>
    <mergeCell ref="Z609:AK609"/>
    <mergeCell ref="AC632:AE632"/>
    <mergeCell ref="AA606:AK606"/>
    <mergeCell ref="G644:R644"/>
    <mergeCell ref="AC637:AE637"/>
    <mergeCell ref="Z644:AK644"/>
    <mergeCell ref="T634:V634"/>
    <mergeCell ref="AF634:AJ634"/>
    <mergeCell ref="W637:Y637"/>
    <mergeCell ref="Z634:AB634"/>
    <mergeCell ref="M635:P635"/>
    <mergeCell ref="AF629:AJ629"/>
    <mergeCell ref="P589:R589"/>
    <mergeCell ref="Z588:AK588"/>
    <mergeCell ref="Z569:AK569"/>
    <mergeCell ref="AC627:AE627"/>
    <mergeCell ref="B641:AN641"/>
    <mergeCell ref="G643:R643"/>
    <mergeCell ref="AK628:AN628"/>
    <mergeCell ref="Q636:S636"/>
    <mergeCell ref="AM558:AS558"/>
    <mergeCell ref="AM566:AS566"/>
    <mergeCell ref="AM562:AS562"/>
    <mergeCell ref="H573:R573"/>
    <mergeCell ref="B566:AL566"/>
    <mergeCell ref="M629:P629"/>
    <mergeCell ref="W624:Y626"/>
    <mergeCell ref="W628:Y628"/>
    <mergeCell ref="T630:V630"/>
    <mergeCell ref="T631:V631"/>
    <mergeCell ref="AC628:AE628"/>
    <mergeCell ref="C629:L629"/>
    <mergeCell ref="T629:V629"/>
    <mergeCell ref="AI613:AK613"/>
    <mergeCell ref="AA614:AK614"/>
    <mergeCell ref="AC624:AE626"/>
    <mergeCell ref="Z631:AB631"/>
    <mergeCell ref="AF624:AJ626"/>
    <mergeCell ref="G578:R578"/>
    <mergeCell ref="AF631:AJ631"/>
    <mergeCell ref="Z629:AB629"/>
    <mergeCell ref="G569:R569"/>
    <mergeCell ref="W563:Y563"/>
    <mergeCell ref="Z595:AK595"/>
    <mergeCell ref="G603:R603"/>
    <mergeCell ref="P597:R597"/>
    <mergeCell ref="G597:L597"/>
    <mergeCell ref="G602:R602"/>
    <mergeCell ref="W564:Y564"/>
    <mergeCell ref="W565:Y565"/>
    <mergeCell ref="G571:R571"/>
    <mergeCell ref="AO630:AS630"/>
    <mergeCell ref="AM564:AS564"/>
    <mergeCell ref="AI581:AK581"/>
    <mergeCell ref="Z601:AK601"/>
    <mergeCell ref="AA573:AK573"/>
    <mergeCell ref="AE564:AH564"/>
    <mergeCell ref="T638:V638"/>
    <mergeCell ref="T628:V628"/>
    <mergeCell ref="C628:L628"/>
    <mergeCell ref="W633:Y633"/>
    <mergeCell ref="Z630:AB630"/>
    <mergeCell ref="Z603:AK603"/>
    <mergeCell ref="AF636:AJ636"/>
    <mergeCell ref="AF637:AJ637"/>
    <mergeCell ref="AC636:AE636"/>
    <mergeCell ref="Z647:AE647"/>
    <mergeCell ref="AF633:AJ633"/>
    <mergeCell ref="G667:R667"/>
    <mergeCell ref="Q624:S626"/>
    <mergeCell ref="G572:L572"/>
    <mergeCell ref="AC630:AE630"/>
    <mergeCell ref="AC629:AE629"/>
    <mergeCell ref="AO633:AS633"/>
    <mergeCell ref="H614:R614"/>
    <mergeCell ref="G613:L613"/>
    <mergeCell ref="Z577:AK577"/>
    <mergeCell ref="Z653:AK653"/>
    <mergeCell ref="AI663:AK663"/>
    <mergeCell ref="G659:R659"/>
    <mergeCell ref="Z667:AK667"/>
    <mergeCell ref="G601:R601"/>
    <mergeCell ref="Z579:AK579"/>
    <mergeCell ref="AI605:AK605"/>
    <mergeCell ref="G604:R604"/>
    <mergeCell ref="G577:R577"/>
    <mergeCell ref="Z687:AE687"/>
    <mergeCell ref="AH718:AJ718"/>
    <mergeCell ref="W703:AK703"/>
    <mergeCell ref="X718:AB718"/>
    <mergeCell ref="Q632:S632"/>
    <mergeCell ref="B719:F719"/>
    <mergeCell ref="AE693:AF693"/>
    <mergeCell ref="Z585:AK585"/>
    <mergeCell ref="G579:R579"/>
    <mergeCell ref="G594:R594"/>
    <mergeCell ref="Z597:AE597"/>
    <mergeCell ref="N607:O607"/>
    <mergeCell ref="G593:R593"/>
    <mergeCell ref="G605:L605"/>
    <mergeCell ref="H606:R606"/>
    <mergeCell ref="AI597:AK597"/>
    <mergeCell ref="AF630:AJ630"/>
    <mergeCell ref="N583:O583"/>
    <mergeCell ref="T635:V635"/>
    <mergeCell ref="T636:V636"/>
    <mergeCell ref="T637:V637"/>
    <mergeCell ref="C627:L627"/>
    <mergeCell ref="Z671:AE671"/>
    <mergeCell ref="AK633:AN633"/>
    <mergeCell ref="Z645:AK645"/>
    <mergeCell ref="AE699:AI699"/>
    <mergeCell ref="AA672:AK672"/>
    <mergeCell ref="Z684:AK684"/>
    <mergeCell ref="AI655:AK655"/>
    <mergeCell ref="AA680:AK680"/>
    <mergeCell ref="T555:V555"/>
    <mergeCell ref="W559:Y559"/>
    <mergeCell ref="Z646:AK646"/>
    <mergeCell ref="G580:R580"/>
    <mergeCell ref="W631:Y631"/>
    <mergeCell ref="AG615:AH615"/>
    <mergeCell ref="Z602:AK602"/>
    <mergeCell ref="Z612:AK612"/>
    <mergeCell ref="AE559:AH559"/>
    <mergeCell ref="W635:Y635"/>
    <mergeCell ref="Q564:S564"/>
    <mergeCell ref="AE561:AH561"/>
    <mergeCell ref="AK624:AN626"/>
    <mergeCell ref="AG599:AH599"/>
    <mergeCell ref="G595:R595"/>
    <mergeCell ref="G596:R596"/>
    <mergeCell ref="Z570:AK570"/>
    <mergeCell ref="P581:R581"/>
    <mergeCell ref="N591:O591"/>
    <mergeCell ref="Z581:AE581"/>
    <mergeCell ref="Z586:AK586"/>
    <mergeCell ref="M565:P565"/>
    <mergeCell ref="T563:V563"/>
    <mergeCell ref="Z564:AD564"/>
    <mergeCell ref="Z565:AD565"/>
    <mergeCell ref="Z572:AE572"/>
    <mergeCell ref="Z589:AE589"/>
    <mergeCell ref="Q630:S630"/>
    <mergeCell ref="G589:L589"/>
    <mergeCell ref="M634:P634"/>
    <mergeCell ref="AI559:AL559"/>
    <mergeCell ref="AC635:AE635"/>
    <mergeCell ref="EM636:EQ636"/>
    <mergeCell ref="DX637:EB637"/>
    <mergeCell ref="AC633:AE633"/>
    <mergeCell ref="B639:AN639"/>
    <mergeCell ref="B640:AN640"/>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Z611:AK611"/>
    <mergeCell ref="G684:R684"/>
    <mergeCell ref="G581:L581"/>
    <mergeCell ref="Z604:AK604"/>
    <mergeCell ref="C563:L563"/>
    <mergeCell ref="AE565:AH565"/>
    <mergeCell ref="G587:R587"/>
    <mergeCell ref="AI687:AK687"/>
    <mergeCell ref="CM718:CN718"/>
    <mergeCell ref="AC719:AG719"/>
    <mergeCell ref="AK725:AO725"/>
    <mergeCell ref="AC723:AG723"/>
    <mergeCell ref="AK723:AO723"/>
    <mergeCell ref="AK724:AO724"/>
    <mergeCell ref="DO725:DS725"/>
    <mergeCell ref="CM717:CN717"/>
    <mergeCell ref="CM719:CN719"/>
    <mergeCell ref="CM721:CN721"/>
    <mergeCell ref="DE718:DI718"/>
    <mergeCell ref="AC720:AG720"/>
    <mergeCell ref="DE719:DI719"/>
    <mergeCell ref="CZ720:DD720"/>
    <mergeCell ref="DO721:DS721"/>
    <mergeCell ref="CP721:CT721"/>
    <mergeCell ref="DE720:DI720"/>
    <mergeCell ref="DE724:DI724"/>
    <mergeCell ref="AK721:AO721"/>
    <mergeCell ref="CI717:CJ717"/>
    <mergeCell ref="DO718:DS718"/>
    <mergeCell ref="DO719:DS719"/>
    <mergeCell ref="DO723:DS723"/>
    <mergeCell ref="DO724:DS724"/>
    <mergeCell ref="AK719:AO719"/>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DO726:DS726"/>
    <mergeCell ref="CZ721:DD721"/>
    <mergeCell ref="DO730:DS730"/>
    <mergeCell ref="DO722:DS722"/>
    <mergeCell ref="CZ718:DD718"/>
    <mergeCell ref="DO731:DS731"/>
    <mergeCell ref="DJ728:DN728"/>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DZ731:ED731"/>
    <mergeCell ref="DU729:DY729"/>
    <mergeCell ref="DZ726:ED726"/>
    <mergeCell ref="DU728:DY728"/>
    <mergeCell ref="DU722:DY722"/>
    <mergeCell ref="EE734:EI734"/>
    <mergeCell ref="DU731:DY731"/>
    <mergeCell ref="EJ726:EN726"/>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DE717:DI717"/>
    <mergeCell ref="AC731:AG731"/>
    <mergeCell ref="Y826:AB826"/>
    <mergeCell ref="P816:Y816"/>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825:X825"/>
    <mergeCell ref="Z814:AE814"/>
    <mergeCell ref="DE737:DI737"/>
    <mergeCell ref="CI737:CJ737"/>
    <mergeCell ref="CU736:CY736"/>
    <mergeCell ref="CP741:CT741"/>
    <mergeCell ref="CG741:CH741"/>
    <mergeCell ref="Y825:AB825"/>
    <mergeCell ref="AC825:AF825"/>
    <mergeCell ref="AA941:AF941"/>
    <mergeCell ref="AA929:AF929"/>
    <mergeCell ref="U930:Z930"/>
    <mergeCell ref="AA930:AF930"/>
    <mergeCell ref="U949:Z949"/>
    <mergeCell ref="C830:H830"/>
    <mergeCell ref="F831:L831"/>
    <mergeCell ref="U827:X827"/>
    <mergeCell ref="C827:H827"/>
    <mergeCell ref="U931:Z931"/>
    <mergeCell ref="F915:T915"/>
    <mergeCell ref="I946:T946"/>
    <mergeCell ref="AA946:AF946"/>
    <mergeCell ref="C826:H826"/>
    <mergeCell ref="M826:P826"/>
    <mergeCell ref="M871:V871"/>
    <mergeCell ref="M878:V878"/>
    <mergeCell ref="Q825:T825"/>
    <mergeCell ref="W870:AC870"/>
    <mergeCell ref="U946:Z946"/>
    <mergeCell ref="AA944:AF944"/>
    <mergeCell ref="AA936:AF936"/>
    <mergeCell ref="A910:AT911"/>
    <mergeCell ref="F936:T936"/>
    <mergeCell ref="AA947:AF947"/>
    <mergeCell ref="Y830:AB830"/>
    <mergeCell ref="F929:T929"/>
    <mergeCell ref="AC887:AH887"/>
    <mergeCell ref="P945:T945"/>
    <mergeCell ref="Q832:T832"/>
    <mergeCell ref="M831:P831"/>
    <mergeCell ref="Q831:T831"/>
    <mergeCell ref="M960:S960"/>
    <mergeCell ref="Z901:AE901"/>
    <mergeCell ref="W878:AC878"/>
    <mergeCell ref="M968:S968"/>
    <mergeCell ref="F932:T932"/>
    <mergeCell ref="AA939:AF939"/>
    <mergeCell ref="AA940:AF940"/>
    <mergeCell ref="W853:AC853"/>
    <mergeCell ref="U943:Z943"/>
    <mergeCell ref="U941:Z941"/>
    <mergeCell ref="AA943:AF943"/>
    <mergeCell ref="AC885:AH885"/>
    <mergeCell ref="W861:AC861"/>
    <mergeCell ref="C895:AB895"/>
    <mergeCell ref="F946:H946"/>
    <mergeCell ref="AA967:AG967"/>
    <mergeCell ref="F926:T926"/>
    <mergeCell ref="F927:T927"/>
    <mergeCell ref="I948:T948"/>
    <mergeCell ref="AC895:AH895"/>
    <mergeCell ref="AA933:AF933"/>
    <mergeCell ref="Z900:AE900"/>
    <mergeCell ref="AE956:AK956"/>
    <mergeCell ref="C837:AJ837"/>
    <mergeCell ref="W843:AC843"/>
    <mergeCell ref="F944:T944"/>
    <mergeCell ref="U944:Z944"/>
    <mergeCell ref="F940:T940"/>
    <mergeCell ref="U939:Z939"/>
    <mergeCell ref="F916:T917"/>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AA969:AG969"/>
    <mergeCell ref="AA949:AF949"/>
    <mergeCell ref="U940:Z940"/>
    <mergeCell ref="U937:Z937"/>
    <mergeCell ref="AA937:AF937"/>
    <mergeCell ref="F942:T942"/>
    <mergeCell ref="AE959:AK959"/>
    <mergeCell ref="W974:AG974"/>
    <mergeCell ref="M973:S973"/>
    <mergeCell ref="M972:S972"/>
    <mergeCell ref="F930:T930"/>
    <mergeCell ref="F931:T931"/>
    <mergeCell ref="U936:Z936"/>
    <mergeCell ref="AA928:AF928"/>
    <mergeCell ref="Z817:AE817"/>
    <mergeCell ref="I949:T949"/>
    <mergeCell ref="U938:Z938"/>
    <mergeCell ref="M955:S955"/>
    <mergeCell ref="U928:Z928"/>
    <mergeCell ref="U948:Z948"/>
    <mergeCell ref="U823:X824"/>
    <mergeCell ref="Q823:T824"/>
    <mergeCell ref="Z809:AE809"/>
    <mergeCell ref="Z806:AE806"/>
    <mergeCell ref="U922:Z922"/>
    <mergeCell ref="AA924:AF924"/>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AG756:AJ756"/>
    <mergeCell ref="A1125:B1125"/>
    <mergeCell ref="T775:W775"/>
    <mergeCell ref="C763:AR765"/>
    <mergeCell ref="AC752:AG752"/>
    <mergeCell ref="T749:W749"/>
    <mergeCell ref="K750:N750"/>
    <mergeCell ref="AH751:AJ751"/>
    <mergeCell ref="G753:J753"/>
    <mergeCell ref="AD759:AF759"/>
    <mergeCell ref="O746:S746"/>
    <mergeCell ref="T746:W746"/>
    <mergeCell ref="K747:N747"/>
    <mergeCell ref="AH750:AJ750"/>
    <mergeCell ref="AK750:AO750"/>
    <mergeCell ref="B752:F752"/>
    <mergeCell ref="O750:S750"/>
    <mergeCell ref="B753:F753"/>
    <mergeCell ref="O747:S747"/>
    <mergeCell ref="T747:W747"/>
    <mergeCell ref="AC748:AG748"/>
    <mergeCell ref="AK752:AO752"/>
    <mergeCell ref="C757:AM758"/>
    <mergeCell ref="G752:J752"/>
    <mergeCell ref="G750:J750"/>
    <mergeCell ref="G751:J751"/>
    <mergeCell ref="X751:AB751"/>
    <mergeCell ref="AH753:AJ753"/>
    <mergeCell ref="AH749:AJ749"/>
    <mergeCell ref="J783:N786"/>
    <mergeCell ref="T790:W790"/>
    <mergeCell ref="T793:W793"/>
    <mergeCell ref="K740:N740"/>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K742:N742"/>
    <mergeCell ref="O742:S742"/>
    <mergeCell ref="W636:Y636"/>
    <mergeCell ref="X739:AB739"/>
    <mergeCell ref="AC721:AG721"/>
    <mergeCell ref="Q634:S634"/>
    <mergeCell ref="Q637:S637"/>
    <mergeCell ref="C636:L636"/>
    <mergeCell ref="N665:O665"/>
    <mergeCell ref="M636:P636"/>
    <mergeCell ref="N657:O657"/>
    <mergeCell ref="Z668:AK668"/>
    <mergeCell ref="G676:R676"/>
    <mergeCell ref="O722:S722"/>
    <mergeCell ref="AA975:AG975"/>
    <mergeCell ref="AA945:AF945"/>
    <mergeCell ref="U918:Z918"/>
    <mergeCell ref="T973:Z973"/>
    <mergeCell ref="I947:T947"/>
    <mergeCell ref="AA971:AG971"/>
    <mergeCell ref="T972:Z972"/>
    <mergeCell ref="AA648:AK648"/>
    <mergeCell ref="G655:L655"/>
    <mergeCell ref="H656:R656"/>
    <mergeCell ref="X725:AB725"/>
    <mergeCell ref="K724:N724"/>
    <mergeCell ref="K730:N730"/>
    <mergeCell ref="AK731:AO731"/>
    <mergeCell ref="AA656:AK656"/>
    <mergeCell ref="X728:AB728"/>
    <mergeCell ref="O776:S776"/>
    <mergeCell ref="O769:S772"/>
    <mergeCell ref="B754:AH755"/>
    <mergeCell ref="J792:N792"/>
    <mergeCell ref="X791:AB791"/>
    <mergeCell ref="X774:AB774"/>
    <mergeCell ref="J788:N788"/>
    <mergeCell ref="T773:W773"/>
    <mergeCell ref="AC747:AG747"/>
    <mergeCell ref="J773:N773"/>
    <mergeCell ref="AH752:AJ752"/>
    <mergeCell ref="P671:R671"/>
    <mergeCell ref="B751:F751"/>
    <mergeCell ref="O732:S732"/>
    <mergeCell ref="G737:J737"/>
    <mergeCell ref="G735:J735"/>
    <mergeCell ref="M969:S969"/>
    <mergeCell ref="AA935:AF935"/>
    <mergeCell ref="AA918:AF918"/>
    <mergeCell ref="B744:F744"/>
    <mergeCell ref="B745:F745"/>
    <mergeCell ref="B743:F743"/>
    <mergeCell ref="T737:W737"/>
    <mergeCell ref="J705:O705"/>
    <mergeCell ref="B718:F718"/>
    <mergeCell ref="B721:F721"/>
    <mergeCell ref="X750:AB750"/>
    <mergeCell ref="AC749:AG749"/>
    <mergeCell ref="AC750:AG750"/>
    <mergeCell ref="AC751:AG751"/>
    <mergeCell ref="O745:S745"/>
    <mergeCell ref="AE702:AF702"/>
    <mergeCell ref="O729:S729"/>
    <mergeCell ref="U950:Z950"/>
    <mergeCell ref="K743:N743"/>
    <mergeCell ref="O743:S743"/>
    <mergeCell ref="T743:W743"/>
    <mergeCell ref="K744:N744"/>
    <mergeCell ref="O744:S744"/>
    <mergeCell ref="K728:N728"/>
    <mergeCell ref="K746:N746"/>
    <mergeCell ref="T751:W751"/>
    <mergeCell ref="K748:N748"/>
    <mergeCell ref="B737:F737"/>
    <mergeCell ref="B735:F735"/>
    <mergeCell ref="B738:F738"/>
    <mergeCell ref="K749:N749"/>
    <mergeCell ref="O749:S749"/>
    <mergeCell ref="R990:AA990"/>
    <mergeCell ref="J957:S957"/>
    <mergeCell ref="AJ990:AQ990"/>
    <mergeCell ref="G741:J741"/>
    <mergeCell ref="T739:W739"/>
    <mergeCell ref="O739:S739"/>
    <mergeCell ref="M962:S962"/>
    <mergeCell ref="AA925:AF925"/>
    <mergeCell ref="AE958:AK958"/>
    <mergeCell ref="K735:N735"/>
    <mergeCell ref="O773:S773"/>
    <mergeCell ref="T752:W752"/>
    <mergeCell ref="J776:N776"/>
    <mergeCell ref="C766:AR768"/>
    <mergeCell ref="B991:AA991"/>
    <mergeCell ref="D994:AE994"/>
    <mergeCell ref="D1000:AE1000"/>
    <mergeCell ref="U935:Z935"/>
    <mergeCell ref="AA923:AF923"/>
    <mergeCell ref="AB917:AE917"/>
    <mergeCell ref="AA922:AF922"/>
    <mergeCell ref="M958:S958"/>
    <mergeCell ref="AA972:AG972"/>
    <mergeCell ref="AA920:AF920"/>
    <mergeCell ref="AA919:AF919"/>
    <mergeCell ref="U925:Z925"/>
    <mergeCell ref="F928:T928"/>
    <mergeCell ref="D988:Q988"/>
    <mergeCell ref="D989:Q989"/>
    <mergeCell ref="R988:AA988"/>
    <mergeCell ref="O974:P974"/>
    <mergeCell ref="M970:S970"/>
    <mergeCell ref="AG1045:AH1045"/>
    <mergeCell ref="D1017:AE1019"/>
    <mergeCell ref="AG1032:AH1032"/>
    <mergeCell ref="D1036:AE1036"/>
    <mergeCell ref="AG1041:AH1041"/>
    <mergeCell ref="AG1036:AH1036"/>
    <mergeCell ref="D1026:AE1028"/>
    <mergeCell ref="AJ1029:AQ1031"/>
    <mergeCell ref="D1029:AE1029"/>
    <mergeCell ref="D1046:AE1047"/>
    <mergeCell ref="AF1023:AI1024"/>
    <mergeCell ref="D1007:AE1007"/>
    <mergeCell ref="D1001:AE1001"/>
    <mergeCell ref="D1002:AE1006"/>
    <mergeCell ref="D1011:AE1011"/>
    <mergeCell ref="D1012:AE1012"/>
    <mergeCell ref="AF1027:AI1028"/>
    <mergeCell ref="D1022:AE1023"/>
    <mergeCell ref="AJ1045:AQ1048"/>
    <mergeCell ref="AF1017:AI1019"/>
    <mergeCell ref="AF1014:AI1015"/>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AJ989:AQ989"/>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T728:EX728"/>
    <mergeCell ref="DJ723:DN723"/>
    <mergeCell ref="DJ724:DN724"/>
    <mergeCell ref="DO717:DS717"/>
    <mergeCell ref="EJ725:EN725"/>
    <mergeCell ref="DZ728:ED728"/>
    <mergeCell ref="EE724:EI724"/>
    <mergeCell ref="DO727:DS727"/>
    <mergeCell ref="DO728:DS728"/>
    <mergeCell ref="EO729:ES729"/>
    <mergeCell ref="EO732:ES732"/>
    <mergeCell ref="ET729:EX729"/>
    <mergeCell ref="FJ721:FN721"/>
    <mergeCell ref="FO721:FS721"/>
    <mergeCell ref="EO718:ES718"/>
    <mergeCell ref="DU720:DY720"/>
    <mergeCell ref="DU727:DY727"/>
    <mergeCell ref="DU734:DY734"/>
    <mergeCell ref="EE722:EI722"/>
    <mergeCell ref="EC667:EG667"/>
    <mergeCell ref="EH667:EL667"/>
    <mergeCell ref="EM666:EQ666"/>
    <mergeCell ref="ER666:EV666"/>
    <mergeCell ref="DX649:EB649"/>
    <mergeCell ref="DX655:EB655"/>
    <mergeCell ref="EW656:FA656"/>
    <mergeCell ref="DX652:EB652"/>
    <mergeCell ref="EC652:EG652"/>
    <mergeCell ref="EH652:EL652"/>
    <mergeCell ref="DX668:EB668"/>
    <mergeCell ref="EC668:EG668"/>
    <mergeCell ref="EW661:FA661"/>
    <mergeCell ref="ER662:EV662"/>
    <mergeCell ref="EM670:EQ670"/>
    <mergeCell ref="EM662:EQ662"/>
    <mergeCell ref="EW660:FA660"/>
    <mergeCell ref="DX661:EB661"/>
    <mergeCell ref="DX651:EB651"/>
    <mergeCell ref="EC651:EG651"/>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ET731:EX731"/>
    <mergeCell ref="EJ727:EN727"/>
    <mergeCell ref="EO728:ES728"/>
    <mergeCell ref="EM651:EQ651"/>
    <mergeCell ref="EE726:EI726"/>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EO719:ES719"/>
    <mergeCell ref="ET719:EX719"/>
    <mergeCell ref="EJ722:EN722"/>
    <mergeCell ref="ET736:EX736"/>
    <mergeCell ref="EE735:EI735"/>
    <mergeCell ref="EM668:EQ668"/>
    <mergeCell ref="DX670:EB670"/>
    <mergeCell ref="EM664:EQ664"/>
    <mergeCell ref="ER664:EV664"/>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38:CT738"/>
    <mergeCell ref="DZ737:ED737"/>
    <mergeCell ref="EE753:EI753"/>
    <mergeCell ref="EO753:ES753"/>
    <mergeCell ref="DJ776:DN776"/>
    <mergeCell ref="DO776:DS776"/>
    <mergeCell ref="DO775:DS775"/>
    <mergeCell ref="DJ753:DN753"/>
    <mergeCell ref="DE740:DI740"/>
    <mergeCell ref="DU740:DY740"/>
    <mergeCell ref="DZ740:ED740"/>
    <mergeCell ref="EE740:EI740"/>
    <mergeCell ref="EJ740:EN740"/>
    <mergeCell ref="CU775:CY775"/>
    <mergeCell ref="EE745:EI745"/>
    <mergeCell ref="EO745:ES745"/>
    <mergeCell ref="DU749:DY749"/>
    <mergeCell ref="DZ749:ED749"/>
    <mergeCell ref="CP753:CT753"/>
    <mergeCell ref="CZ753:DD753"/>
    <mergeCell ref="DJ737:DN737"/>
    <mergeCell ref="CZ740:DD740"/>
    <mergeCell ref="CU741:CY741"/>
    <mergeCell ref="CZ739:DD739"/>
    <mergeCell ref="DZ741:ED741"/>
    <mergeCell ref="DJ747:DN747"/>
    <mergeCell ref="CU739:CY739"/>
    <mergeCell ref="CP775:CT775"/>
    <mergeCell ref="CP776:CT776"/>
    <mergeCell ref="EO740:ES740"/>
    <mergeCell ref="DJ738:DN738"/>
    <mergeCell ref="EO737:ES7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R649:EV649"/>
    <mergeCell ref="EC661:EG661"/>
    <mergeCell ref="EH661:EL661"/>
    <mergeCell ref="DU739:DY739"/>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DZ717:ED717"/>
    <mergeCell ref="DJ721:DN721"/>
    <mergeCell ref="EO720:ES720"/>
    <mergeCell ref="DO729:DS729"/>
    <mergeCell ref="CU719:CY719"/>
    <mergeCell ref="CG718:CH718"/>
    <mergeCell ref="DZ718:ED718"/>
    <mergeCell ref="EE718:EI718"/>
    <mergeCell ref="EJ718:EN718"/>
    <mergeCell ref="DJ718:DN718"/>
    <mergeCell ref="CZ719:DD719"/>
    <mergeCell ref="CK718:CL718"/>
    <mergeCell ref="DJ719:DN719"/>
    <mergeCell ref="CU717:CY717"/>
    <mergeCell ref="CU722:CY722"/>
    <mergeCell ref="CZ722:DD722"/>
    <mergeCell ref="CP725:CT725"/>
    <mergeCell ref="DJ725:DN725"/>
    <mergeCell ref="DE725:DI725"/>
    <mergeCell ref="CG725:CH725"/>
    <mergeCell ref="CK723:CL723"/>
    <mergeCell ref="CK721:CL72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H655:EL655"/>
    <mergeCell ref="EM655:EQ655"/>
    <mergeCell ref="EH647:EL647"/>
    <mergeCell ref="EM647:EQ647"/>
    <mergeCell ref="DX648:EB648"/>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DZ738:ED738"/>
    <mergeCell ref="EE738:EI738"/>
    <mergeCell ref="EJ738:EN738"/>
    <mergeCell ref="DE735:DI735"/>
    <mergeCell ref="DO732:DS732"/>
    <mergeCell ref="DZ739:ED739"/>
    <mergeCell ref="EE739:EI739"/>
    <mergeCell ref="DO753:DS753"/>
    <mergeCell ref="DO773:DS773"/>
    <mergeCell ref="DJ751:DN751"/>
    <mergeCell ref="DO720:DS720"/>
    <mergeCell ref="DU718:DY718"/>
    <mergeCell ref="DU721:DY721"/>
    <mergeCell ref="EE721:EI721"/>
    <mergeCell ref="EJ721:EN721"/>
    <mergeCell ref="DZ721:ED721"/>
    <mergeCell ref="DZ722:ED722"/>
    <mergeCell ref="DU717:DY717"/>
    <mergeCell ref="DU719:DY719"/>
    <mergeCell ref="EE717:EI717"/>
    <mergeCell ref="AO641:AS641"/>
    <mergeCell ref="Z651:AK651"/>
    <mergeCell ref="AK638:AN638"/>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O632:AS632"/>
    <mergeCell ref="AA598:AK598"/>
    <mergeCell ref="AH509:AK509"/>
    <mergeCell ref="AM561:AS561"/>
    <mergeCell ref="AM559:AS559"/>
    <mergeCell ref="G645:R645"/>
    <mergeCell ref="W634:Y63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J1049:AQ1052"/>
    <mergeCell ref="U929:Z929"/>
    <mergeCell ref="B746:F746"/>
    <mergeCell ref="B747:F747"/>
    <mergeCell ref="B748:F748"/>
    <mergeCell ref="B749:F749"/>
    <mergeCell ref="B750:F750"/>
    <mergeCell ref="T750:W750"/>
    <mergeCell ref="AE962:AK962"/>
    <mergeCell ref="M961:S961"/>
    <mergeCell ref="AM556:AS556"/>
    <mergeCell ref="O740:S740"/>
    <mergeCell ref="K741:N741"/>
    <mergeCell ref="O736:S736"/>
    <mergeCell ref="X732:AB732"/>
    <mergeCell ref="K734:N734"/>
    <mergeCell ref="K738:N738"/>
    <mergeCell ref="G647:L647"/>
    <mergeCell ref="C638:L638"/>
    <mergeCell ref="K737:N737"/>
    <mergeCell ref="AK733:AO733"/>
    <mergeCell ref="G728:J728"/>
    <mergeCell ref="O737:S737"/>
    <mergeCell ref="AH737:AJ737"/>
    <mergeCell ref="G742:J742"/>
    <mergeCell ref="G743:J743"/>
    <mergeCell ref="G744:J744"/>
    <mergeCell ref="G745:J745"/>
    <mergeCell ref="G746:J746"/>
    <mergeCell ref="G747:J747"/>
    <mergeCell ref="G748:J748"/>
    <mergeCell ref="G749:J749"/>
    <mergeCell ref="X740:AB740"/>
    <mergeCell ref="B740:F740"/>
    <mergeCell ref="AC738:AG738"/>
    <mergeCell ref="B739:F739"/>
    <mergeCell ref="K736:N736"/>
    <mergeCell ref="G736:J736"/>
    <mergeCell ref="AB988:AI988"/>
    <mergeCell ref="R986:AA986"/>
    <mergeCell ref="M959:S959"/>
    <mergeCell ref="U942:Z942"/>
    <mergeCell ref="AA942:AF942"/>
    <mergeCell ref="D990:Q990"/>
    <mergeCell ref="AB989:AI989"/>
    <mergeCell ref="AB990:AI990"/>
    <mergeCell ref="F975:L975"/>
    <mergeCell ref="M975:S975"/>
    <mergeCell ref="D985:Q985"/>
    <mergeCell ref="D986:Q986"/>
    <mergeCell ref="AB985:AI985"/>
    <mergeCell ref="AB986:AI986"/>
    <mergeCell ref="F939:T939"/>
    <mergeCell ref="U924:Z924"/>
    <mergeCell ref="U933:Z933"/>
    <mergeCell ref="U934:Z934"/>
    <mergeCell ref="O791:S791"/>
    <mergeCell ref="AB987:AI987"/>
    <mergeCell ref="D987:Q987"/>
    <mergeCell ref="R989:AA989"/>
    <mergeCell ref="AB957:AK957"/>
    <mergeCell ref="AA970:AG970"/>
    <mergeCell ref="R987:AA987"/>
    <mergeCell ref="U915:Z917"/>
    <mergeCell ref="T733:W733"/>
    <mergeCell ref="O734:S734"/>
    <mergeCell ref="K739:N739"/>
    <mergeCell ref="AC734:AG734"/>
    <mergeCell ref="AC735:AG735"/>
    <mergeCell ref="B714:F717"/>
    <mergeCell ref="G729:J729"/>
    <mergeCell ref="B726:F726"/>
    <mergeCell ref="AC733:AG733"/>
    <mergeCell ref="T734:W734"/>
    <mergeCell ref="AC727:AG727"/>
    <mergeCell ref="AC728:AG728"/>
    <mergeCell ref="AC732:AG732"/>
    <mergeCell ref="X733:AB733"/>
    <mergeCell ref="G732:J732"/>
    <mergeCell ref="X734:AB734"/>
    <mergeCell ref="X724:AB724"/>
    <mergeCell ref="AC724:AG724"/>
    <mergeCell ref="AC730:AG730"/>
    <mergeCell ref="G734:J734"/>
    <mergeCell ref="O719:S719"/>
    <mergeCell ref="B720:F720"/>
    <mergeCell ref="B723:F723"/>
    <mergeCell ref="B732:F732"/>
    <mergeCell ref="O724:S724"/>
    <mergeCell ref="X729:AB729"/>
    <mergeCell ref="AH729:AJ729"/>
    <mergeCell ref="AG649:AH649"/>
    <mergeCell ref="H688:R688"/>
    <mergeCell ref="X727:AB727"/>
    <mergeCell ref="AH738:AJ738"/>
    <mergeCell ref="O738:S738"/>
    <mergeCell ref="T740:W740"/>
    <mergeCell ref="AH733:AJ733"/>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061:AQ1061"/>
    <mergeCell ref="G740:J74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abSelected="1" topLeftCell="A42" workbookViewId="0">
      <selection activeCell="B117" sqref="B117"/>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65" t="s">
        <v>621</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374</v>
      </c>
      <c r="D2" s="138" t="s">
        <v>373</v>
      </c>
      <c r="E2" s="138" t="s">
        <v>24</v>
      </c>
      <c r="F2" s="139" t="str">
        <f>Application!B627&amp;Application!C627</f>
        <v xml:space="preserve">1)Perm Loan: Citibank </v>
      </c>
      <c r="G2" s="139" t="str">
        <f>Application!B628&amp;Application!C628</f>
        <v>2)Deferred Developer Fee</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v>0</v>
      </c>
      <c r="D4" s="147"/>
      <c r="E4" s="147">
        <v>0</v>
      </c>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0</v>
      </c>
      <c r="S12" s="148"/>
      <c r="T12" s="148"/>
      <c r="U12" s="143"/>
    </row>
    <row r="13" spans="1:21" s="144" customFormat="1">
      <c r="A13" s="287" t="s">
        <v>902</v>
      </c>
      <c r="B13" s="146">
        <f>SUM(C13+D13)</f>
        <v>114300</v>
      </c>
      <c r="C13" s="147">
        <v>114300</v>
      </c>
      <c r="D13" s="147"/>
      <c r="E13" s="147">
        <f>C13</f>
        <v>114300</v>
      </c>
      <c r="F13" s="147"/>
      <c r="G13" s="147"/>
      <c r="H13" s="147"/>
      <c r="I13" s="147"/>
      <c r="J13" s="147"/>
      <c r="K13" s="147"/>
      <c r="L13" s="147"/>
      <c r="M13" s="147"/>
      <c r="N13" s="147"/>
      <c r="O13" s="147"/>
      <c r="P13" s="147"/>
      <c r="Q13" s="147"/>
      <c r="R13" s="516">
        <f>SUM(E13:Q13)</f>
        <v>114300</v>
      </c>
      <c r="S13" s="147">
        <v>0</v>
      </c>
      <c r="T13" s="147"/>
      <c r="U13" s="143"/>
    </row>
    <row r="14" spans="1:21" s="144" customFormat="1" ht="24">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8"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0</v>
      </c>
      <c r="C29" s="147">
        <v>0</v>
      </c>
      <c r="D29" s="147"/>
      <c r="E29" s="147">
        <f>C29</f>
        <v>0</v>
      </c>
      <c r="F29" s="147"/>
      <c r="G29" s="147"/>
      <c r="H29" s="147"/>
      <c r="I29" s="147"/>
      <c r="J29" s="147"/>
      <c r="K29" s="147"/>
      <c r="L29" s="147"/>
      <c r="M29" s="147"/>
      <c r="N29" s="147"/>
      <c r="O29" s="147"/>
      <c r="P29" s="147"/>
      <c r="Q29" s="147"/>
      <c r="R29" s="516">
        <f t="shared" ref="R29:R37" si="7">SUM(E29:Q29)</f>
        <v>0</v>
      </c>
      <c r="S29" s="147">
        <v>0</v>
      </c>
      <c r="T29" s="147"/>
      <c r="U29" s="143"/>
    </row>
    <row r="30" spans="1:21" s="144" customFormat="1">
      <c r="A30" s="145" t="s">
        <v>599</v>
      </c>
      <c r="B30" s="146">
        <f t="shared" si="6"/>
        <v>70691438</v>
      </c>
      <c r="C30" s="147">
        <v>70691438</v>
      </c>
      <c r="D30" s="147"/>
      <c r="E30" s="147">
        <f>C30-SUM(F30:Q30)</f>
        <v>6747149</v>
      </c>
      <c r="F30" s="147">
        <f>F108</f>
        <v>63944289</v>
      </c>
      <c r="G30" s="147"/>
      <c r="H30" s="147"/>
      <c r="I30" s="147"/>
      <c r="J30" s="147"/>
      <c r="K30" s="147"/>
      <c r="L30" s="147"/>
      <c r="M30" s="147"/>
      <c r="N30" s="147"/>
      <c r="O30" s="147"/>
      <c r="P30" s="147"/>
      <c r="Q30" s="147"/>
      <c r="R30" s="516">
        <f t="shared" si="7"/>
        <v>70691438</v>
      </c>
      <c r="S30" s="147">
        <v>70691438</v>
      </c>
      <c r="T30" s="147"/>
      <c r="U30" s="143"/>
    </row>
    <row r="31" spans="1:21" s="144" customFormat="1">
      <c r="A31" s="145" t="s">
        <v>600</v>
      </c>
      <c r="B31" s="146">
        <f t="shared" si="6"/>
        <v>4531138</v>
      </c>
      <c r="C31" s="147">
        <v>4531138</v>
      </c>
      <c r="D31" s="147"/>
      <c r="E31" s="147">
        <f>C31</f>
        <v>4531138</v>
      </c>
      <c r="F31" s="147"/>
      <c r="G31" s="147"/>
      <c r="H31" s="147"/>
      <c r="I31" s="147"/>
      <c r="J31" s="147"/>
      <c r="K31" s="147"/>
      <c r="L31" s="147"/>
      <c r="M31" s="147"/>
      <c r="N31" s="147"/>
      <c r="O31" s="147"/>
      <c r="P31" s="147"/>
      <c r="Q31" s="147"/>
      <c r="R31" s="516">
        <f t="shared" si="7"/>
        <v>4531138</v>
      </c>
      <c r="S31" s="147">
        <v>4531138</v>
      </c>
      <c r="T31" s="147"/>
      <c r="U31" s="143"/>
    </row>
    <row r="32" spans="1:21" s="144" customFormat="1">
      <c r="A32" s="145" t="s">
        <v>137</v>
      </c>
      <c r="B32" s="146">
        <f t="shared" si="6"/>
        <v>3008903</v>
      </c>
      <c r="C32" s="147">
        <v>3008903</v>
      </c>
      <c r="D32" s="147"/>
      <c r="E32" s="147">
        <v>3008903</v>
      </c>
      <c r="F32" s="147"/>
      <c r="G32" s="147"/>
      <c r="H32" s="147"/>
      <c r="I32" s="147"/>
      <c r="J32" s="147"/>
      <c r="K32" s="147"/>
      <c r="L32" s="147"/>
      <c r="M32" s="147"/>
      <c r="N32" s="147"/>
      <c r="O32" s="147"/>
      <c r="P32" s="147"/>
      <c r="Q32" s="147"/>
      <c r="R32" s="516">
        <f t="shared" si="7"/>
        <v>3008903</v>
      </c>
      <c r="S32" s="147">
        <v>3008903</v>
      </c>
      <c r="T32" s="147"/>
      <c r="U32" s="143"/>
    </row>
    <row r="33" spans="1:21" s="144" customFormat="1">
      <c r="A33" s="145" t="s">
        <v>138</v>
      </c>
      <c r="B33" s="146">
        <f t="shared" si="6"/>
        <v>0</v>
      </c>
      <c r="C33" s="147">
        <v>0</v>
      </c>
      <c r="D33" s="147"/>
      <c r="E33" s="147">
        <f>C33</f>
        <v>0</v>
      </c>
      <c r="F33" s="147"/>
      <c r="G33" s="147"/>
      <c r="H33" s="147"/>
      <c r="I33" s="147"/>
      <c r="J33" s="147"/>
      <c r="K33" s="147"/>
      <c r="L33" s="147"/>
      <c r="M33" s="147"/>
      <c r="N33" s="147"/>
      <c r="O33" s="147"/>
      <c r="P33" s="147"/>
      <c r="Q33" s="147"/>
      <c r="R33" s="516">
        <f t="shared" si="7"/>
        <v>0</v>
      </c>
      <c r="S33" s="147">
        <f>R33</f>
        <v>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391158</v>
      </c>
      <c r="C35" s="147">
        <v>391158</v>
      </c>
      <c r="D35" s="147"/>
      <c r="E35" s="147">
        <f>C35</f>
        <v>391158</v>
      </c>
      <c r="F35" s="147"/>
      <c r="G35" s="147"/>
      <c r="H35" s="147"/>
      <c r="I35" s="147"/>
      <c r="J35" s="147"/>
      <c r="K35" s="147"/>
      <c r="L35" s="147"/>
      <c r="M35" s="147"/>
      <c r="N35" s="147"/>
      <c r="O35" s="147"/>
      <c r="P35" s="147"/>
      <c r="Q35" s="147"/>
      <c r="R35" s="516">
        <f t="shared" si="7"/>
        <v>391158</v>
      </c>
      <c r="S35" s="147">
        <v>391158</v>
      </c>
      <c r="T35" s="147"/>
      <c r="U35" s="143"/>
    </row>
    <row r="36" spans="1:21" s="144" customFormat="1">
      <c r="A36" s="283" t="s">
        <v>1639</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8" t="s">
        <v>2738</v>
      </c>
      <c r="B37" s="146">
        <f t="shared" si="6"/>
        <v>786226</v>
      </c>
      <c r="C37" s="147">
        <v>786226</v>
      </c>
      <c r="D37" s="147"/>
      <c r="E37" s="147">
        <f>C37</f>
        <v>786226</v>
      </c>
      <c r="F37" s="147"/>
      <c r="G37" s="147"/>
      <c r="H37" s="147"/>
      <c r="I37" s="147"/>
      <c r="J37" s="147"/>
      <c r="K37" s="147"/>
      <c r="L37" s="147"/>
      <c r="M37" s="147"/>
      <c r="N37" s="147"/>
      <c r="O37" s="147"/>
      <c r="P37" s="147"/>
      <c r="Q37" s="147"/>
      <c r="R37" s="516">
        <f t="shared" si="7"/>
        <v>786226</v>
      </c>
      <c r="S37" s="147">
        <v>786226</v>
      </c>
      <c r="T37" s="147"/>
      <c r="U37" s="143"/>
    </row>
    <row r="38" spans="1:21" s="144" customFormat="1">
      <c r="A38" s="149" t="s">
        <v>143</v>
      </c>
      <c r="B38" s="146">
        <f t="shared" si="6"/>
        <v>79408863</v>
      </c>
      <c r="C38" s="146">
        <f>SUM(C29:C37)</f>
        <v>79408863</v>
      </c>
      <c r="D38" s="146">
        <f t="shared" ref="D38:Q38" si="8">SUM(D29:D37)</f>
        <v>0</v>
      </c>
      <c r="E38" s="146">
        <f t="shared" si="8"/>
        <v>15464574</v>
      </c>
      <c r="F38" s="146">
        <f t="shared" si="8"/>
        <v>63944289</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79408863</v>
      </c>
      <c r="S38" s="150">
        <f>SUM(S29:S37)</f>
        <v>79408863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1010000</v>
      </c>
      <c r="C40" s="147">
        <v>1010000</v>
      </c>
      <c r="D40" s="147"/>
      <c r="E40" s="147">
        <f>C40</f>
        <v>1010000</v>
      </c>
      <c r="F40" s="147"/>
      <c r="G40" s="147"/>
      <c r="H40" s="147"/>
      <c r="I40" s="147"/>
      <c r="J40" s="147"/>
      <c r="K40" s="147"/>
      <c r="L40" s="147"/>
      <c r="M40" s="147"/>
      <c r="N40" s="147"/>
      <c r="O40" s="147"/>
      <c r="P40" s="147"/>
      <c r="Q40" s="147"/>
      <c r="R40" s="516">
        <f>SUM(E40:Q40)</f>
        <v>1010000</v>
      </c>
      <c r="S40" s="147">
        <v>1010000</v>
      </c>
      <c r="T40" s="147"/>
      <c r="U40" s="143"/>
    </row>
    <row r="41" spans="1:21" s="144" customFormat="1">
      <c r="A41" s="145" t="s">
        <v>146</v>
      </c>
      <c r="B41" s="146">
        <f>SUM(C41+D41)</f>
        <v>240000</v>
      </c>
      <c r="C41" s="147">
        <v>240000</v>
      </c>
      <c r="D41" s="147"/>
      <c r="E41" s="147">
        <f>C41</f>
        <v>240000</v>
      </c>
      <c r="F41" s="147"/>
      <c r="G41" s="147"/>
      <c r="H41" s="147"/>
      <c r="I41" s="147"/>
      <c r="J41" s="147"/>
      <c r="K41" s="147"/>
      <c r="L41" s="147"/>
      <c r="M41" s="147"/>
      <c r="N41" s="147"/>
      <c r="O41" s="147"/>
      <c r="P41" s="147"/>
      <c r="Q41" s="147"/>
      <c r="R41" s="516">
        <f>SUM(E41:Q41)</f>
        <v>240000</v>
      </c>
      <c r="S41" s="147">
        <v>240000</v>
      </c>
      <c r="T41" s="147"/>
      <c r="U41" s="143"/>
    </row>
    <row r="42" spans="1:21" s="144" customFormat="1">
      <c r="A42" s="149" t="s">
        <v>147</v>
      </c>
      <c r="B42" s="146">
        <f>SUM(C42:D42)</f>
        <v>1250000</v>
      </c>
      <c r="C42" s="146">
        <f>SUM(C39:C41)</f>
        <v>1250000</v>
      </c>
      <c r="D42" s="146">
        <f>SUM(D39:D41)</f>
        <v>0</v>
      </c>
      <c r="E42" s="146">
        <f t="shared" ref="E42:T42" si="9">SUM(E40:E41)</f>
        <v>1250000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1250000</v>
      </c>
      <c r="S42" s="150">
        <f t="shared" si="9"/>
        <v>1250000</v>
      </c>
      <c r="T42" s="150">
        <f t="shared" si="9"/>
        <v>0</v>
      </c>
      <c r="U42" s="143"/>
    </row>
    <row r="43" spans="1:21" s="144" customFormat="1">
      <c r="A43" s="149" t="s">
        <v>148</v>
      </c>
      <c r="B43" s="146">
        <f>SUM(C43:D43)</f>
        <v>1391800</v>
      </c>
      <c r="C43" s="147">
        <v>1391800</v>
      </c>
      <c r="D43" s="147"/>
      <c r="E43" s="147">
        <f>C43</f>
        <v>1391800</v>
      </c>
      <c r="F43" s="147"/>
      <c r="G43" s="147"/>
      <c r="H43" s="147"/>
      <c r="I43" s="147"/>
      <c r="J43" s="147"/>
      <c r="K43" s="147"/>
      <c r="L43" s="147"/>
      <c r="M43" s="147"/>
      <c r="N43" s="147"/>
      <c r="O43" s="147"/>
      <c r="P43" s="147"/>
      <c r="Q43" s="147"/>
      <c r="R43" s="516">
        <f>SUM(E43:Q43)</f>
        <v>1391800</v>
      </c>
      <c r="S43" s="147">
        <v>1391800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5675453</v>
      </c>
      <c r="C45" s="147">
        <v>5675453</v>
      </c>
      <c r="D45" s="147"/>
      <c r="E45" s="147">
        <f>C45</f>
        <v>5675453</v>
      </c>
      <c r="F45" s="147"/>
      <c r="G45" s="147"/>
      <c r="H45" s="147"/>
      <c r="I45" s="147"/>
      <c r="J45" s="147"/>
      <c r="K45" s="147"/>
      <c r="L45" s="147"/>
      <c r="M45" s="147"/>
      <c r="N45" s="147"/>
      <c r="O45" s="147"/>
      <c r="P45" s="147"/>
      <c r="Q45" s="147"/>
      <c r="R45" s="516">
        <f t="shared" ref="R45:R53" si="11">SUM(E45:Q45)</f>
        <v>5675453</v>
      </c>
      <c r="S45" s="147">
        <v>5675453</v>
      </c>
      <c r="T45" s="147"/>
      <c r="U45" s="143"/>
    </row>
    <row r="46" spans="1:21" s="144" customFormat="1">
      <c r="A46" s="145" t="s">
        <v>151</v>
      </c>
      <c r="B46" s="146">
        <f t="shared" si="10"/>
        <v>775350</v>
      </c>
      <c r="C46" s="147">
        <v>775350</v>
      </c>
      <c r="D46" s="147"/>
      <c r="E46" s="147">
        <f>C46</f>
        <v>775350</v>
      </c>
      <c r="F46" s="147"/>
      <c r="G46" s="147"/>
      <c r="H46" s="147"/>
      <c r="I46" s="147"/>
      <c r="J46" s="147"/>
      <c r="K46" s="147"/>
      <c r="L46" s="147"/>
      <c r="M46" s="147"/>
      <c r="N46" s="147"/>
      <c r="O46" s="147"/>
      <c r="P46" s="147"/>
      <c r="Q46" s="147"/>
      <c r="R46" s="516">
        <f t="shared" si="11"/>
        <v>775350</v>
      </c>
      <c r="S46" s="147">
        <v>612527</v>
      </c>
      <c r="T46" s="147"/>
      <c r="U46" s="143"/>
    </row>
    <row r="47" spans="1:21" s="144" customFormat="1">
      <c r="A47" s="186" t="s">
        <v>152</v>
      </c>
      <c r="B47" s="146">
        <f t="shared" si="10"/>
        <v>996400</v>
      </c>
      <c r="C47" s="147">
        <v>996400</v>
      </c>
      <c r="D47" s="147"/>
      <c r="E47" s="147">
        <f>C47</f>
        <v>996400</v>
      </c>
      <c r="F47" s="147"/>
      <c r="G47" s="147"/>
      <c r="H47" s="147"/>
      <c r="I47" s="147"/>
      <c r="J47" s="147"/>
      <c r="K47" s="147"/>
      <c r="L47" s="147"/>
      <c r="M47" s="147"/>
      <c r="N47" s="147"/>
      <c r="O47" s="147"/>
      <c r="P47" s="147"/>
      <c r="Q47" s="147"/>
      <c r="R47" s="516">
        <f t="shared" si="11"/>
        <v>996400</v>
      </c>
      <c r="S47" s="147">
        <v>796900</v>
      </c>
      <c r="T47" s="147"/>
      <c r="U47" s="143"/>
    </row>
    <row r="48" spans="1:21" s="144" customFormat="1">
      <c r="A48" s="145" t="s">
        <v>153</v>
      </c>
      <c r="B48" s="146">
        <f t="shared" si="10"/>
        <v>337960</v>
      </c>
      <c r="C48" s="147">
        <v>337960</v>
      </c>
      <c r="D48" s="147"/>
      <c r="E48" s="147">
        <f>C48</f>
        <v>337960</v>
      </c>
      <c r="F48" s="147"/>
      <c r="G48" s="147"/>
      <c r="H48" s="147"/>
      <c r="I48" s="147"/>
      <c r="J48" s="147"/>
      <c r="K48" s="147"/>
      <c r="L48" s="147"/>
      <c r="M48" s="147"/>
      <c r="N48" s="147"/>
      <c r="O48" s="147"/>
      <c r="P48" s="147"/>
      <c r="Q48" s="147"/>
      <c r="R48" s="516">
        <f t="shared" si="11"/>
        <v>337960</v>
      </c>
      <c r="S48" s="147">
        <v>337960</v>
      </c>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16">
        <f t="shared" si="11"/>
        <v>0</v>
      </c>
      <c r="S49" s="147"/>
      <c r="T49" s="147"/>
      <c r="U49" s="143"/>
    </row>
    <row r="50" spans="1:21" s="144" customFormat="1">
      <c r="A50" s="145" t="s">
        <v>156</v>
      </c>
      <c r="B50" s="146">
        <f t="shared" si="10"/>
        <v>119000</v>
      </c>
      <c r="C50" s="147">
        <v>119000</v>
      </c>
      <c r="D50" s="147"/>
      <c r="E50" s="147">
        <f>C50</f>
        <v>119000</v>
      </c>
      <c r="F50" s="147"/>
      <c r="G50" s="147"/>
      <c r="H50" s="147"/>
      <c r="I50" s="147"/>
      <c r="J50" s="147"/>
      <c r="K50" s="147"/>
      <c r="L50" s="147"/>
      <c r="M50" s="147"/>
      <c r="N50" s="147"/>
      <c r="O50" s="147"/>
      <c r="P50" s="147"/>
      <c r="Q50" s="147"/>
      <c r="R50" s="516">
        <f t="shared" si="11"/>
        <v>119000</v>
      </c>
      <c r="S50" s="147">
        <v>104000</v>
      </c>
      <c r="T50" s="147"/>
      <c r="U50" s="143"/>
    </row>
    <row r="51" spans="1:21" s="144" customFormat="1">
      <c r="A51" s="283" t="s">
        <v>154</v>
      </c>
      <c r="B51" s="146">
        <f t="shared" si="10"/>
        <v>748500</v>
      </c>
      <c r="C51" s="147">
        <v>748500</v>
      </c>
      <c r="D51" s="147"/>
      <c r="E51" s="147">
        <f>C51</f>
        <v>748500</v>
      </c>
      <c r="F51" s="147"/>
      <c r="G51" s="147"/>
      <c r="H51" s="147"/>
      <c r="I51" s="147"/>
      <c r="J51" s="147"/>
      <c r="K51" s="147"/>
      <c r="L51" s="147"/>
      <c r="M51" s="147"/>
      <c r="N51" s="147"/>
      <c r="O51" s="147"/>
      <c r="P51" s="147"/>
      <c r="Q51" s="147"/>
      <c r="R51" s="516">
        <f t="shared" si="11"/>
        <v>748500</v>
      </c>
      <c r="S51" s="147">
        <v>50000</v>
      </c>
      <c r="T51" s="147"/>
      <c r="U51" s="143"/>
    </row>
    <row r="52" spans="1:21" s="144" customFormat="1">
      <c r="A52" s="145" t="s">
        <v>155</v>
      </c>
      <c r="B52" s="146">
        <f t="shared" si="10"/>
        <v>1420000</v>
      </c>
      <c r="C52" s="147">
        <v>1420000</v>
      </c>
      <c r="D52" s="147"/>
      <c r="E52" s="147">
        <f>C52</f>
        <v>1420000</v>
      </c>
      <c r="F52" s="147"/>
      <c r="G52" s="147"/>
      <c r="H52" s="147"/>
      <c r="I52" s="147"/>
      <c r="J52" s="147"/>
      <c r="K52" s="147"/>
      <c r="L52" s="147"/>
      <c r="M52" s="147"/>
      <c r="N52" s="147"/>
      <c r="O52" s="147"/>
      <c r="P52" s="147"/>
      <c r="Q52" s="147"/>
      <c r="R52" s="516">
        <f t="shared" si="11"/>
        <v>1420000</v>
      </c>
      <c r="S52" s="147">
        <v>1420000</v>
      </c>
      <c r="T52" s="147"/>
      <c r="U52" s="143"/>
    </row>
    <row r="53" spans="1:21" s="144" customFormat="1">
      <c r="A53" s="1148" t="s">
        <v>2746</v>
      </c>
      <c r="B53" s="146">
        <f t="shared" si="10"/>
        <v>2129378</v>
      </c>
      <c r="C53" s="147">
        <v>2129378</v>
      </c>
      <c r="D53" s="147"/>
      <c r="E53" s="147">
        <f>C53</f>
        <v>2129378</v>
      </c>
      <c r="F53" s="147"/>
      <c r="G53" s="147"/>
      <c r="H53" s="147"/>
      <c r="I53" s="147"/>
      <c r="J53" s="147"/>
      <c r="K53" s="147"/>
      <c r="L53" s="147"/>
      <c r="M53" s="147"/>
      <c r="N53" s="147"/>
      <c r="O53" s="147"/>
      <c r="P53" s="147"/>
      <c r="Q53" s="147"/>
      <c r="R53" s="516">
        <f t="shared" si="11"/>
        <v>2129378</v>
      </c>
      <c r="S53" s="147">
        <v>0</v>
      </c>
      <c r="T53" s="147"/>
      <c r="U53" s="143"/>
    </row>
    <row r="54" spans="1:21" s="153" customFormat="1">
      <c r="A54" s="149" t="s">
        <v>157</v>
      </c>
      <c r="B54" s="150">
        <f>SUM(C54:D54)</f>
        <v>12202041</v>
      </c>
      <c r="C54" s="150">
        <f t="shared" ref="C54:T54" si="12">SUM(C45:C53)</f>
        <v>12202041</v>
      </c>
      <c r="D54" s="150">
        <f t="shared" si="12"/>
        <v>0</v>
      </c>
      <c r="E54" s="150">
        <f t="shared" si="12"/>
        <v>12202041</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12202041</v>
      </c>
      <c r="S54" s="150">
        <f t="shared" si="12"/>
        <v>8996840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479583</v>
      </c>
      <c r="C56" s="147">
        <v>479583</v>
      </c>
      <c r="D56" s="147"/>
      <c r="E56" s="147">
        <f>C56</f>
        <v>479583</v>
      </c>
      <c r="F56" s="147"/>
      <c r="G56" s="147"/>
      <c r="H56" s="147"/>
      <c r="I56" s="147"/>
      <c r="J56" s="147"/>
      <c r="K56" s="147"/>
      <c r="L56" s="147"/>
      <c r="M56" s="147"/>
      <c r="N56" s="147"/>
      <c r="O56" s="147"/>
      <c r="P56" s="147"/>
      <c r="Q56" s="147"/>
      <c r="R56" s="516">
        <f t="shared" ref="R56:R61" si="14">SUM(E56:Q56)</f>
        <v>479583</v>
      </c>
      <c r="S56" s="148"/>
      <c r="T56" s="148"/>
      <c r="U56" s="143"/>
    </row>
    <row r="57" spans="1:21" s="192" customFormat="1">
      <c r="A57" s="186" t="s">
        <v>152</v>
      </c>
      <c r="B57" s="193">
        <f t="shared" si="13"/>
        <v>30000</v>
      </c>
      <c r="C57" s="190">
        <v>30000</v>
      </c>
      <c r="D57" s="190"/>
      <c r="E57" s="190">
        <f>C57</f>
        <v>30000</v>
      </c>
      <c r="F57" s="190"/>
      <c r="G57" s="190"/>
      <c r="H57" s="190"/>
      <c r="I57" s="190"/>
      <c r="J57" s="190"/>
      <c r="K57" s="190"/>
      <c r="L57" s="190"/>
      <c r="M57" s="190"/>
      <c r="N57" s="190"/>
      <c r="O57" s="190"/>
      <c r="P57" s="190"/>
      <c r="Q57" s="190"/>
      <c r="R57" s="516">
        <f t="shared" si="14"/>
        <v>30000</v>
      </c>
      <c r="S57" s="194"/>
      <c r="T57" s="194"/>
      <c r="U57" s="191"/>
    </row>
    <row r="58" spans="1:21" s="144" customFormat="1">
      <c r="A58" s="145" t="s">
        <v>156</v>
      </c>
      <c r="B58" s="146">
        <f t="shared" si="13"/>
        <v>51000</v>
      </c>
      <c r="C58" s="147">
        <v>51000</v>
      </c>
      <c r="D58" s="147"/>
      <c r="E58" s="147">
        <f>C58</f>
        <v>51000</v>
      </c>
      <c r="F58" s="147"/>
      <c r="G58" s="147"/>
      <c r="H58" s="147"/>
      <c r="I58" s="147"/>
      <c r="J58" s="147"/>
      <c r="K58" s="147"/>
      <c r="L58" s="147"/>
      <c r="M58" s="147"/>
      <c r="N58" s="147"/>
      <c r="O58" s="147"/>
      <c r="P58" s="147"/>
      <c r="Q58" s="147"/>
      <c r="R58" s="516">
        <f t="shared" si="14"/>
        <v>51000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8" t="s">
        <v>2744</v>
      </c>
      <c r="B61" s="146">
        <f t="shared" si="13"/>
        <v>3568206</v>
      </c>
      <c r="C61" s="147">
        <v>3568206</v>
      </c>
      <c r="D61" s="147"/>
      <c r="E61" s="147">
        <f>C61</f>
        <v>3568206</v>
      </c>
      <c r="F61" s="147"/>
      <c r="G61" s="147"/>
      <c r="H61" s="147"/>
      <c r="I61" s="147"/>
      <c r="J61" s="147"/>
      <c r="K61" s="147"/>
      <c r="L61" s="147"/>
      <c r="M61" s="147"/>
      <c r="N61" s="147"/>
      <c r="O61" s="147"/>
      <c r="P61" s="147"/>
      <c r="Q61" s="147"/>
      <c r="R61" s="516">
        <f t="shared" si="14"/>
        <v>3568206</v>
      </c>
      <c r="S61" s="148"/>
      <c r="T61" s="148"/>
      <c r="U61" s="143"/>
    </row>
    <row r="62" spans="1:21" s="144" customFormat="1" ht="13.7" customHeight="1">
      <c r="A62" s="149" t="s">
        <v>301</v>
      </c>
      <c r="B62" s="146">
        <f>SUM(C62:D62)</f>
        <v>4128789</v>
      </c>
      <c r="C62" s="146">
        <f t="shared" ref="C62:R62" si="15">SUM(C56:C61)</f>
        <v>4128789</v>
      </c>
      <c r="D62" s="146">
        <f t="shared" si="15"/>
        <v>0</v>
      </c>
      <c r="E62" s="146">
        <f t="shared" si="15"/>
        <v>4128789</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4128789</v>
      </c>
      <c r="S62" s="148"/>
      <c r="T62" s="148"/>
      <c r="U62" s="143"/>
    </row>
    <row r="63" spans="1:21" s="144" customFormat="1">
      <c r="A63" s="154" t="s">
        <v>302</v>
      </c>
      <c r="B63" s="146">
        <f t="shared" ref="B63:R63" si="16">SUM(B8+B11+B13+B14+B15+B26+B27+B38+B42+B43+B54+B62)</f>
        <v>98495793</v>
      </c>
      <c r="C63" s="146">
        <f t="shared" si="16"/>
        <v>98495793</v>
      </c>
      <c r="D63" s="146">
        <f t="shared" si="16"/>
        <v>0</v>
      </c>
      <c r="E63" s="146">
        <f t="shared" si="16"/>
        <v>34551504</v>
      </c>
      <c r="F63" s="146">
        <f t="shared" si="16"/>
        <v>63944289</v>
      </c>
      <c r="G63" s="146">
        <f t="shared" si="16"/>
        <v>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98495793</v>
      </c>
      <c r="S63" s="146">
        <f>SUM(S10+S13+S14+S15+S26+S27+S38+S42+S43+S54)</f>
        <v>91047503</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255000</v>
      </c>
      <c r="C65" s="147">
        <v>255000</v>
      </c>
      <c r="D65" s="147"/>
      <c r="E65" s="147">
        <f>C65</f>
        <v>255000</v>
      </c>
      <c r="F65" s="147"/>
      <c r="G65" s="147"/>
      <c r="H65" s="147"/>
      <c r="I65" s="147"/>
      <c r="J65" s="147"/>
      <c r="K65" s="147"/>
      <c r="L65" s="147"/>
      <c r="M65" s="147"/>
      <c r="N65" s="147"/>
      <c r="O65" s="147"/>
      <c r="P65" s="147"/>
      <c r="Q65" s="147"/>
      <c r="R65" s="516">
        <f>SUM(E65:Q65)</f>
        <v>255000</v>
      </c>
      <c r="S65" s="147">
        <v>163750</v>
      </c>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8" t="s">
        <v>2739</v>
      </c>
      <c r="B69" s="146">
        <f>SUM(C69+D69)</f>
        <v>295000</v>
      </c>
      <c r="C69" s="147">
        <v>295000</v>
      </c>
      <c r="D69" s="147"/>
      <c r="E69" s="147">
        <f>C69</f>
        <v>295000</v>
      </c>
      <c r="F69" s="147"/>
      <c r="G69" s="147"/>
      <c r="H69" s="147"/>
      <c r="I69" s="147"/>
      <c r="J69" s="147"/>
      <c r="K69" s="147"/>
      <c r="L69" s="147"/>
      <c r="M69" s="147"/>
      <c r="N69" s="147"/>
      <c r="O69" s="147"/>
      <c r="P69" s="147"/>
      <c r="Q69" s="147"/>
      <c r="R69" s="516">
        <f>SUM(E69:Q69)</f>
        <v>295000</v>
      </c>
      <c r="S69" s="147">
        <v>295000</v>
      </c>
      <c r="T69" s="147"/>
      <c r="U69" s="143"/>
    </row>
    <row r="70" spans="1:21" s="144" customFormat="1">
      <c r="A70" s="149" t="s">
        <v>1644</v>
      </c>
      <c r="B70" s="146">
        <f>SUM(C70:D70)</f>
        <v>550000</v>
      </c>
      <c r="C70" s="146">
        <f>SUM(C65:C69)</f>
        <v>550000</v>
      </c>
      <c r="D70" s="146">
        <f>SUM(D65:D69)</f>
        <v>0</v>
      </c>
      <c r="E70" s="146">
        <f t="shared" ref="E70:T70" si="17">SUM(E65:E69)</f>
        <v>550000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550000</v>
      </c>
      <c r="S70" s="150">
        <f t="shared" si="17"/>
        <v>458750</v>
      </c>
      <c r="T70" s="150">
        <f t="shared" si="17"/>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1877479</v>
      </c>
      <c r="C75" s="147">
        <v>1877479</v>
      </c>
      <c r="D75" s="147"/>
      <c r="E75" s="147">
        <f>C75</f>
        <v>1877479</v>
      </c>
      <c r="F75" s="147"/>
      <c r="G75" s="147"/>
      <c r="H75" s="147"/>
      <c r="I75" s="147"/>
      <c r="J75" s="147"/>
      <c r="K75" s="147"/>
      <c r="L75" s="147"/>
      <c r="M75" s="147"/>
      <c r="N75" s="147"/>
      <c r="O75" s="147"/>
      <c r="P75" s="147"/>
      <c r="Q75" s="147"/>
      <c r="R75" s="516">
        <f>SUM(E75:Q75)</f>
        <v>1877479</v>
      </c>
      <c r="S75" s="148"/>
      <c r="T75" s="148"/>
      <c r="U75" s="143"/>
    </row>
    <row r="76" spans="1:21" s="144" customFormat="1">
      <c r="A76" s="1148"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1877479</v>
      </c>
      <c r="C77" s="146">
        <f>SUM(C72:C76)</f>
        <v>1877479</v>
      </c>
      <c r="D77" s="146">
        <f>SUM(D72:D76)</f>
        <v>0</v>
      </c>
      <c r="E77" s="146">
        <f t="shared" ref="E77:Q77" si="18">SUM(E72:E76)</f>
        <v>1877479</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1877479</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3970443</v>
      </c>
      <c r="C79" s="147">
        <v>3970443</v>
      </c>
      <c r="D79" s="147"/>
      <c r="E79" s="147">
        <f>C79</f>
        <v>3970443</v>
      </c>
      <c r="F79" s="147"/>
      <c r="G79" s="147"/>
      <c r="H79" s="147"/>
      <c r="I79" s="147"/>
      <c r="J79" s="147"/>
      <c r="K79" s="147"/>
      <c r="L79" s="147"/>
      <c r="M79" s="147"/>
      <c r="N79" s="147"/>
      <c r="O79" s="147"/>
      <c r="P79" s="147"/>
      <c r="Q79" s="147"/>
      <c r="R79" s="516">
        <f>SUM(E79:Q79)</f>
        <v>3970443</v>
      </c>
      <c r="S79" s="147">
        <v>3970443</v>
      </c>
      <c r="T79" s="147"/>
      <c r="U79" s="143"/>
    </row>
    <row r="80" spans="1:21" s="144" customFormat="1">
      <c r="A80" s="283" t="s">
        <v>58</v>
      </c>
      <c r="B80" s="146">
        <f>SUM(C80:D80)</f>
        <v>1100000</v>
      </c>
      <c r="C80" s="147">
        <v>1100000</v>
      </c>
      <c r="D80" s="147"/>
      <c r="E80" s="147">
        <f>C80</f>
        <v>1100000</v>
      </c>
      <c r="F80" s="147"/>
      <c r="G80" s="147"/>
      <c r="H80" s="147"/>
      <c r="I80" s="147"/>
      <c r="J80" s="147"/>
      <c r="K80" s="147"/>
      <c r="L80" s="147"/>
      <c r="M80" s="147"/>
      <c r="N80" s="147"/>
      <c r="O80" s="147"/>
      <c r="P80" s="147"/>
      <c r="Q80" s="147"/>
      <c r="R80" s="516">
        <f>SUM(E80:Q80)</f>
        <v>1100000</v>
      </c>
      <c r="S80" s="147">
        <v>1100000</v>
      </c>
      <c r="T80" s="147"/>
      <c r="U80" s="143"/>
    </row>
    <row r="81" spans="1:21" s="144" customFormat="1">
      <c r="A81" s="149" t="s">
        <v>1208</v>
      </c>
      <c r="B81" s="146">
        <f>SUM(C81:D81)</f>
        <v>5070443</v>
      </c>
      <c r="C81" s="509">
        <f>SUM(C79:C80)</f>
        <v>5070443</v>
      </c>
      <c r="D81" s="509">
        <f t="shared" ref="D81:T81" si="19">SUM(D79:D80)</f>
        <v>0</v>
      </c>
      <c r="E81" s="509">
        <f t="shared" si="19"/>
        <v>5070443</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5070443</v>
      </c>
      <c r="S81" s="509">
        <f t="shared" si="19"/>
        <v>5070443</v>
      </c>
      <c r="T81" s="509">
        <f t="shared" si="19"/>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2094</v>
      </c>
      <c r="B83" s="146">
        <f t="shared" ref="B83:B95" si="20">SUM(C83+D83)</f>
        <v>149324</v>
      </c>
      <c r="C83" s="147">
        <v>149324</v>
      </c>
      <c r="D83" s="147"/>
      <c r="E83" s="147">
        <f>C83</f>
        <v>149324</v>
      </c>
      <c r="F83" s="147"/>
      <c r="G83" s="147"/>
      <c r="H83" s="147"/>
      <c r="I83" s="147"/>
      <c r="J83" s="147"/>
      <c r="K83" s="147"/>
      <c r="L83" s="147"/>
      <c r="M83" s="147"/>
      <c r="N83" s="147"/>
      <c r="O83" s="147"/>
      <c r="P83" s="147"/>
      <c r="Q83" s="147"/>
      <c r="R83" s="516">
        <f t="shared" ref="R83:R95" si="21">SUM(E83:Q83)</f>
        <v>149324</v>
      </c>
      <c r="S83" s="148"/>
      <c r="T83" s="148"/>
      <c r="U83" s="143"/>
    </row>
    <row r="84" spans="1:21" s="144" customFormat="1">
      <c r="A84" s="145" t="s">
        <v>767</v>
      </c>
      <c r="B84" s="146">
        <f t="shared" si="20"/>
        <v>9300</v>
      </c>
      <c r="C84" s="147">
        <v>9300</v>
      </c>
      <c r="D84" s="147"/>
      <c r="E84" s="147">
        <f>C84</f>
        <v>9300</v>
      </c>
      <c r="F84" s="147"/>
      <c r="G84" s="147"/>
      <c r="H84" s="147"/>
      <c r="I84" s="147"/>
      <c r="J84" s="147"/>
      <c r="K84" s="147"/>
      <c r="L84" s="147"/>
      <c r="M84" s="147"/>
      <c r="N84" s="147"/>
      <c r="O84" s="147"/>
      <c r="P84" s="147"/>
      <c r="Q84" s="147"/>
      <c r="R84" s="516">
        <f t="shared" si="21"/>
        <v>9300</v>
      </c>
      <c r="S84" s="147">
        <v>9300</v>
      </c>
      <c r="T84" s="147"/>
      <c r="U84" s="143"/>
    </row>
    <row r="85" spans="1:21" s="144" customFormat="1">
      <c r="A85" s="145" t="s">
        <v>768</v>
      </c>
      <c r="B85" s="146">
        <f t="shared" si="20"/>
        <v>224115</v>
      </c>
      <c r="C85" s="147">
        <v>224115</v>
      </c>
      <c r="D85" s="147"/>
      <c r="E85" s="147">
        <f>C85</f>
        <v>224115</v>
      </c>
      <c r="F85" s="147"/>
      <c r="G85" s="147"/>
      <c r="H85" s="147"/>
      <c r="I85" s="147"/>
      <c r="J85" s="147"/>
      <c r="K85" s="147"/>
      <c r="L85" s="147"/>
      <c r="M85" s="147"/>
      <c r="N85" s="147"/>
      <c r="O85" s="147"/>
      <c r="P85" s="147"/>
      <c r="Q85" s="147"/>
      <c r="R85" s="516">
        <f t="shared" si="21"/>
        <v>224115</v>
      </c>
      <c r="S85" s="147">
        <v>224115</v>
      </c>
      <c r="T85" s="147"/>
      <c r="U85" s="143"/>
    </row>
    <row r="86" spans="1:21" s="144" customFormat="1">
      <c r="A86" s="145" t="s">
        <v>769</v>
      </c>
      <c r="B86" s="146">
        <f t="shared" si="20"/>
        <v>1773705</v>
      </c>
      <c r="C86" s="147">
        <v>1773705</v>
      </c>
      <c r="D86" s="147"/>
      <c r="E86" s="147">
        <f>C86</f>
        <v>1773705</v>
      </c>
      <c r="F86" s="147"/>
      <c r="G86" s="147"/>
      <c r="H86" s="147"/>
      <c r="I86" s="147"/>
      <c r="J86" s="147"/>
      <c r="K86" s="147"/>
      <c r="L86" s="147"/>
      <c r="M86" s="147"/>
      <c r="N86" s="147"/>
      <c r="O86" s="147"/>
      <c r="P86" s="147"/>
      <c r="Q86" s="147"/>
      <c r="R86" s="516">
        <f t="shared" si="21"/>
        <v>1773705</v>
      </c>
      <c r="S86" s="147">
        <v>1773705</v>
      </c>
      <c r="T86" s="147"/>
      <c r="U86" s="143"/>
    </row>
    <row r="87" spans="1:21" s="144" customFormat="1">
      <c r="A87" s="145" t="s">
        <v>770</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771</v>
      </c>
      <c r="B88" s="146">
        <f t="shared" si="20"/>
        <v>214000</v>
      </c>
      <c r="C88" s="147">
        <v>214000</v>
      </c>
      <c r="D88" s="147"/>
      <c r="E88" s="147">
        <f>C88</f>
        <v>214000</v>
      </c>
      <c r="F88" s="147"/>
      <c r="G88" s="147"/>
      <c r="H88" s="147"/>
      <c r="I88" s="147"/>
      <c r="J88" s="147"/>
      <c r="K88" s="147"/>
      <c r="L88" s="147"/>
      <c r="M88" s="147"/>
      <c r="N88" s="147"/>
      <c r="O88" s="147"/>
      <c r="P88" s="147"/>
      <c r="Q88" s="147"/>
      <c r="R88" s="516">
        <f t="shared" si="21"/>
        <v>214000</v>
      </c>
      <c r="S88" s="148"/>
      <c r="T88" s="148"/>
      <c r="U88" s="143"/>
    </row>
    <row r="89" spans="1:21" s="144" customFormat="1">
      <c r="A89" s="145" t="s">
        <v>772</v>
      </c>
      <c r="B89" s="146">
        <f t="shared" si="20"/>
        <v>1020000</v>
      </c>
      <c r="C89" s="147">
        <v>1020000</v>
      </c>
      <c r="D89" s="147"/>
      <c r="E89" s="147">
        <f>C89</f>
        <v>1020000</v>
      </c>
      <c r="F89" s="147"/>
      <c r="G89" s="147"/>
      <c r="H89" s="147"/>
      <c r="I89" s="147"/>
      <c r="J89" s="147"/>
      <c r="K89" s="147"/>
      <c r="L89" s="147"/>
      <c r="M89" s="147"/>
      <c r="N89" s="147"/>
      <c r="O89" s="147"/>
      <c r="P89" s="147"/>
      <c r="Q89" s="147"/>
      <c r="R89" s="516">
        <f t="shared" si="21"/>
        <v>1020000</v>
      </c>
      <c r="S89" s="147">
        <v>230000</v>
      </c>
      <c r="T89" s="147"/>
      <c r="U89" s="143"/>
    </row>
    <row r="90" spans="1:21" s="144" customFormat="1">
      <c r="A90" s="145" t="s">
        <v>773</v>
      </c>
      <c r="B90" s="146">
        <f t="shared" si="20"/>
        <v>7600</v>
      </c>
      <c r="C90" s="147">
        <v>7600</v>
      </c>
      <c r="D90" s="147"/>
      <c r="E90" s="147">
        <f>C90</f>
        <v>7600</v>
      </c>
      <c r="F90" s="147"/>
      <c r="G90" s="147"/>
      <c r="H90" s="147"/>
      <c r="I90" s="147"/>
      <c r="J90" s="147"/>
      <c r="K90" s="147"/>
      <c r="L90" s="147"/>
      <c r="M90" s="147"/>
      <c r="N90" s="147"/>
      <c r="O90" s="147"/>
      <c r="P90" s="147"/>
      <c r="Q90" s="147"/>
      <c r="R90" s="516">
        <f t="shared" si="21"/>
        <v>7600</v>
      </c>
      <c r="S90" s="147">
        <v>7600</v>
      </c>
      <c r="T90" s="147"/>
      <c r="U90" s="143"/>
    </row>
    <row r="91" spans="1:21" s="144" customFormat="1">
      <c r="A91" s="145" t="s">
        <v>372</v>
      </c>
      <c r="B91" s="146">
        <f t="shared" si="20"/>
        <v>120000</v>
      </c>
      <c r="C91" s="147">
        <v>120000</v>
      </c>
      <c r="D91" s="147"/>
      <c r="E91" s="147">
        <f>C91</f>
        <v>120000</v>
      </c>
      <c r="F91" s="147"/>
      <c r="G91" s="147"/>
      <c r="H91" s="147"/>
      <c r="I91" s="147"/>
      <c r="J91" s="147"/>
      <c r="K91" s="147"/>
      <c r="L91" s="147"/>
      <c r="M91" s="147"/>
      <c r="N91" s="147"/>
      <c r="O91" s="147"/>
      <c r="P91" s="147"/>
      <c r="Q91" s="147"/>
      <c r="R91" s="516">
        <f t="shared" si="21"/>
        <v>120000</v>
      </c>
      <c r="S91" s="147"/>
      <c r="T91" s="147"/>
      <c r="U91" s="143"/>
    </row>
    <row r="92" spans="1:21" s="144" customFormat="1">
      <c r="A92" s="283" t="s">
        <v>1210</v>
      </c>
      <c r="B92" s="146">
        <f t="shared" si="20"/>
        <v>0</v>
      </c>
      <c r="C92" s="147"/>
      <c r="D92" s="147"/>
      <c r="E92" s="147"/>
      <c r="F92" s="147"/>
      <c r="G92" s="147"/>
      <c r="H92" s="147"/>
      <c r="I92" s="147"/>
      <c r="J92" s="147"/>
      <c r="K92" s="147"/>
      <c r="L92" s="147"/>
      <c r="M92" s="147"/>
      <c r="N92" s="147"/>
      <c r="O92" s="147"/>
      <c r="P92" s="147"/>
      <c r="Q92" s="147"/>
      <c r="R92" s="516">
        <f t="shared" si="21"/>
        <v>0</v>
      </c>
      <c r="S92" s="147"/>
      <c r="T92" s="147"/>
      <c r="U92" s="143"/>
    </row>
    <row r="93" spans="1:21" s="144" customFormat="1">
      <c r="A93" s="1148" t="s">
        <v>2747</v>
      </c>
      <c r="B93" s="146">
        <f t="shared" si="20"/>
        <v>18200</v>
      </c>
      <c r="C93" s="147">
        <v>18200</v>
      </c>
      <c r="D93" s="147"/>
      <c r="E93" s="147">
        <f>C93</f>
        <v>18200</v>
      </c>
      <c r="F93" s="147"/>
      <c r="G93" s="147"/>
      <c r="H93" s="147"/>
      <c r="I93" s="147"/>
      <c r="J93" s="147"/>
      <c r="K93" s="147"/>
      <c r="L93" s="147"/>
      <c r="M93" s="147"/>
      <c r="N93" s="147"/>
      <c r="O93" s="147"/>
      <c r="P93" s="147"/>
      <c r="Q93" s="147"/>
      <c r="R93" s="516">
        <f t="shared" si="21"/>
        <v>18200</v>
      </c>
      <c r="S93" s="147">
        <v>15000</v>
      </c>
      <c r="T93" s="147"/>
      <c r="U93" s="143"/>
    </row>
    <row r="94" spans="1:21" s="144" customFormat="1">
      <c r="A94" s="1148" t="s">
        <v>2740</v>
      </c>
      <c r="B94" s="146">
        <f t="shared" si="20"/>
        <v>355000</v>
      </c>
      <c r="C94" s="147">
        <v>355000</v>
      </c>
      <c r="D94" s="147"/>
      <c r="E94" s="147">
        <f>C94</f>
        <v>355000</v>
      </c>
      <c r="F94" s="147"/>
      <c r="G94" s="147"/>
      <c r="H94" s="147"/>
      <c r="I94" s="147"/>
      <c r="J94" s="147"/>
      <c r="K94" s="147"/>
      <c r="L94" s="147"/>
      <c r="M94" s="147"/>
      <c r="N94" s="147"/>
      <c r="O94" s="147"/>
      <c r="P94" s="147"/>
      <c r="Q94" s="147"/>
      <c r="R94" s="516">
        <f t="shared" si="21"/>
        <v>355000</v>
      </c>
      <c r="S94" s="147">
        <v>195000</v>
      </c>
      <c r="T94" s="147"/>
      <c r="U94" s="143"/>
    </row>
    <row r="95" spans="1:21" s="144" customFormat="1">
      <c r="A95" s="1148"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774</v>
      </c>
      <c r="B96" s="146">
        <f>SUM(C96:D96)</f>
        <v>3891244</v>
      </c>
      <c r="C96" s="146">
        <f t="shared" ref="C96:R96" si="22">SUM(C83:C95)</f>
        <v>3891244</v>
      </c>
      <c r="D96" s="146">
        <f t="shared" si="22"/>
        <v>0</v>
      </c>
      <c r="E96" s="146">
        <f t="shared" si="22"/>
        <v>3891244</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3891244</v>
      </c>
      <c r="S96" s="150">
        <f>SUM(S84:S87,S89:S95)</f>
        <v>2454720</v>
      </c>
      <c r="T96" s="146">
        <f>SUM(T84:T87,T89:T95)</f>
        <v>0</v>
      </c>
      <c r="U96" s="143"/>
    </row>
    <row r="97" spans="1:21" s="144" customFormat="1">
      <c r="A97" s="149" t="s">
        <v>775</v>
      </c>
      <c r="B97" s="146">
        <f>SUM(C97:D97)</f>
        <v>109884959</v>
      </c>
      <c r="C97" s="146">
        <f t="shared" ref="C97:R97" si="23">SUM(C63+C70+C77+C81+C96)</f>
        <v>109884959</v>
      </c>
      <c r="D97" s="146">
        <f t="shared" si="23"/>
        <v>0</v>
      </c>
      <c r="E97" s="146">
        <f t="shared" si="23"/>
        <v>45940670</v>
      </c>
      <c r="F97" s="146">
        <f t="shared" si="23"/>
        <v>63944289</v>
      </c>
      <c r="G97" s="146">
        <f t="shared" si="23"/>
        <v>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109884959</v>
      </c>
      <c r="S97" s="146">
        <f>SUM(S63+S70+S81+S96)</f>
        <v>99031416</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14854712</v>
      </c>
      <c r="C99" s="978">
        <v>14854712</v>
      </c>
      <c r="D99" s="978"/>
      <c r="E99" s="978">
        <f>C99-SUM(F99:Q99)</f>
        <v>5576265</v>
      </c>
      <c r="F99" s="147"/>
      <c r="G99" s="147">
        <f>G108</f>
        <v>9278447</v>
      </c>
      <c r="H99" s="147">
        <f>H108</f>
        <v>0</v>
      </c>
      <c r="I99" s="147"/>
      <c r="J99" s="147"/>
      <c r="K99" s="147"/>
      <c r="L99" s="147"/>
      <c r="M99" s="147"/>
      <c r="N99" s="147"/>
      <c r="O99" s="147"/>
      <c r="P99" s="147"/>
      <c r="Q99" s="147"/>
      <c r="R99" s="516">
        <f>SUM(E99:Q99)</f>
        <v>14854712</v>
      </c>
      <c r="S99" s="147">
        <v>14854712</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8"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14854712</v>
      </c>
      <c r="C104" s="146">
        <f>SUM(C99:C103)</f>
        <v>14854712</v>
      </c>
      <c r="D104" s="146">
        <f t="shared" ref="D104:T104" si="24">SUM(D99:D103)</f>
        <v>0</v>
      </c>
      <c r="E104" s="146">
        <f t="shared" si="24"/>
        <v>5576265</v>
      </c>
      <c r="F104" s="146">
        <f t="shared" si="24"/>
        <v>0</v>
      </c>
      <c r="G104" s="146">
        <f t="shared" si="24"/>
        <v>9278447</v>
      </c>
      <c r="H104" s="146">
        <f t="shared" si="24"/>
        <v>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14854712</v>
      </c>
      <c r="S104" s="150">
        <f t="shared" si="24"/>
        <v>14854712</v>
      </c>
      <c r="T104" s="150">
        <f t="shared" si="24"/>
        <v>0</v>
      </c>
      <c r="U104" s="143"/>
    </row>
    <row r="105" spans="1:21" s="144" customFormat="1">
      <c r="A105" s="149" t="s">
        <v>780</v>
      </c>
      <c r="B105" s="150">
        <f>SUM(C105:D105)</f>
        <v>124739671</v>
      </c>
      <c r="C105" s="150">
        <f t="shared" ref="C105:R105" si="25">SUM(C97+C104)</f>
        <v>124739671</v>
      </c>
      <c r="D105" s="150">
        <f t="shared" si="25"/>
        <v>0</v>
      </c>
      <c r="E105" s="150">
        <f t="shared" si="25"/>
        <v>51516935</v>
      </c>
      <c r="F105" s="150">
        <f t="shared" si="25"/>
        <v>63944289</v>
      </c>
      <c r="G105" s="150">
        <f t="shared" si="25"/>
        <v>9278447</v>
      </c>
      <c r="H105" s="150">
        <f t="shared" si="25"/>
        <v>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124739671</v>
      </c>
      <c r="S105" s="150">
        <f>S97+S104</f>
        <v>113886128</v>
      </c>
      <c r="T105" s="150">
        <f>T97+T104</f>
        <v>0</v>
      </c>
      <c r="U105" s="143"/>
    </row>
    <row r="106" spans="1:21">
      <c r="A106" s="514" t="s">
        <v>1019</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113886128</v>
      </c>
      <c r="T107" s="150">
        <f>T105+T106</f>
        <v>0</v>
      </c>
    </row>
    <row r="108" spans="1:21" s="189" customFormat="1">
      <c r="A108" s="162" t="s">
        <v>879</v>
      </c>
      <c r="B108" s="157"/>
      <c r="C108" s="157"/>
      <c r="D108" s="157"/>
      <c r="E108" s="301">
        <f>Application!AO640</f>
        <v>51516935</v>
      </c>
      <c r="F108" s="301">
        <f>Application!AO627</f>
        <v>63944289</v>
      </c>
      <c r="G108" s="301">
        <f>Application!AO628</f>
        <v>9278447</v>
      </c>
      <c r="H108" s="301">
        <f>Application!AO629</f>
        <v>0</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75">
      <c r="A121" s="338" t="s">
        <v>1004</v>
      </c>
      <c r="B121" s="157"/>
      <c r="C121" s="157"/>
      <c r="D121" s="157"/>
    </row>
    <row r="122" spans="1:21">
      <c r="A122" s="325" t="s">
        <v>988</v>
      </c>
      <c r="B122" s="324"/>
      <c r="C122" s="324"/>
      <c r="D122" s="1871" t="s">
        <v>989</v>
      </c>
      <c r="E122" s="1871"/>
      <c r="F122" s="1871"/>
      <c r="G122" s="324"/>
      <c r="H122" s="324"/>
      <c r="I122" s="324"/>
      <c r="J122" s="324"/>
      <c r="K122" s="324"/>
      <c r="L122" s="324"/>
      <c r="M122" s="324"/>
      <c r="N122" s="324"/>
      <c r="O122" s="324"/>
      <c r="P122" s="324"/>
      <c r="Q122" s="324"/>
      <c r="R122" s="324"/>
      <c r="S122" s="324"/>
      <c r="T122" s="324"/>
      <c r="U122" s="326"/>
    </row>
    <row r="123" spans="1:21">
      <c r="A123" s="324" t="s">
        <v>990</v>
      </c>
      <c r="B123" s="333"/>
      <c r="C123" s="324"/>
      <c r="D123" s="1873" t="s">
        <v>1223</v>
      </c>
      <c r="E123" s="1806"/>
      <c r="F123" s="1806"/>
      <c r="G123" s="1806"/>
      <c r="H123" s="1806"/>
      <c r="I123" s="1806"/>
      <c r="J123" s="1806"/>
      <c r="K123" s="1806"/>
      <c r="L123" s="1806"/>
      <c r="M123" s="1806"/>
      <c r="N123" s="1806"/>
      <c r="O123" s="1806"/>
      <c r="P123" s="1806"/>
      <c r="Q123" s="1806"/>
      <c r="R123" s="1806"/>
      <c r="S123" s="1806"/>
      <c r="T123" s="324"/>
      <c r="U123" s="326"/>
    </row>
    <row r="124" spans="1:21" ht="12.75">
      <c r="A124" s="117" t="s">
        <v>991</v>
      </c>
      <c r="B124" s="333"/>
      <c r="C124" s="117"/>
      <c r="D124" s="1806"/>
      <c r="E124" s="1806"/>
      <c r="F124" s="1806"/>
      <c r="G124" s="1806"/>
      <c r="H124" s="1806"/>
      <c r="I124" s="1806"/>
      <c r="J124" s="1806"/>
      <c r="K124" s="1806"/>
      <c r="L124" s="1806"/>
      <c r="M124" s="1806"/>
      <c r="N124" s="1806"/>
      <c r="O124" s="1806"/>
      <c r="P124" s="1806"/>
      <c r="Q124" s="1806"/>
      <c r="R124" s="1806"/>
      <c r="S124" s="1806"/>
      <c r="T124" s="324"/>
      <c r="U124" s="326"/>
    </row>
    <row r="125" spans="1:21" ht="12.75">
      <c r="A125" s="117" t="s">
        <v>992</v>
      </c>
      <c r="B125" s="333"/>
      <c r="C125" s="117"/>
      <c r="D125" s="1806"/>
      <c r="E125" s="1806"/>
      <c r="F125" s="1806"/>
      <c r="G125" s="1806"/>
      <c r="H125" s="1806"/>
      <c r="I125" s="1806"/>
      <c r="J125" s="1806"/>
      <c r="K125" s="1806"/>
      <c r="L125" s="1806"/>
      <c r="M125" s="1806"/>
      <c r="N125" s="1806"/>
      <c r="O125" s="1806"/>
      <c r="P125" s="1806"/>
      <c r="Q125" s="1806"/>
      <c r="R125" s="1806"/>
      <c r="S125" s="1806"/>
      <c r="T125" s="324"/>
      <c r="U125" s="326"/>
    </row>
    <row r="126" spans="1:21" ht="12.7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995</v>
      </c>
      <c r="B128" s="333"/>
      <c r="C128" s="117"/>
      <c r="D128" s="1868"/>
      <c r="E128" s="1868"/>
      <c r="F128" s="1868"/>
      <c r="G128" s="1868"/>
      <c r="H128" s="1868"/>
      <c r="I128" s="117"/>
      <c r="J128" s="1869"/>
      <c r="K128" s="1869"/>
      <c r="L128" s="117"/>
      <c r="M128" s="117"/>
      <c r="N128" s="117"/>
      <c r="O128" s="117"/>
      <c r="P128" s="117"/>
      <c r="Q128" s="117"/>
      <c r="R128" s="117"/>
      <c r="S128" s="117"/>
      <c r="T128" s="324"/>
      <c r="U128" s="326"/>
    </row>
    <row r="129" spans="1:21" ht="12.75">
      <c r="A129" s="117" t="s">
        <v>300</v>
      </c>
      <c r="B129" s="333"/>
      <c r="C129" s="117"/>
      <c r="D129" s="1870" t="s">
        <v>996</v>
      </c>
      <c r="E129" s="1870"/>
      <c r="F129" s="1870"/>
      <c r="G129" s="1870"/>
      <c r="H129" s="1870"/>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998</v>
      </c>
      <c r="B131" s="334">
        <f>SUM(B123:B129)</f>
        <v>0</v>
      </c>
      <c r="C131" s="117"/>
      <c r="D131" s="1832"/>
      <c r="E131" s="1832"/>
      <c r="F131" s="1832"/>
      <c r="G131" s="1832"/>
      <c r="H131" s="1832"/>
      <c r="I131" s="117"/>
      <c r="J131" s="1832"/>
      <c r="K131" s="1832"/>
      <c r="L131" s="1832"/>
      <c r="M131" s="1832"/>
      <c r="N131" s="117"/>
      <c r="O131" s="117"/>
      <c r="P131" s="117"/>
      <c r="Q131" s="117"/>
      <c r="R131" s="117"/>
      <c r="S131" s="117"/>
      <c r="T131" s="324"/>
      <c r="U131" s="326"/>
    </row>
    <row r="132" spans="1:21" ht="12" customHeight="1">
      <c r="A132" s="336"/>
      <c r="B132" s="117"/>
      <c r="C132" s="117"/>
      <c r="D132" s="1874" t="s">
        <v>999</v>
      </c>
      <c r="E132" s="1874"/>
      <c r="F132" s="1874"/>
      <c r="G132" s="1874"/>
      <c r="H132" s="1874"/>
      <c r="I132" s="117"/>
      <c r="J132" s="1874" t="s">
        <v>1000</v>
      </c>
      <c r="K132" s="1874"/>
      <c r="L132" s="1874"/>
      <c r="M132" s="1874"/>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5"/>
      <c r="B138" s="1868"/>
      <c r="C138" s="1868"/>
      <c r="D138" s="328"/>
      <c r="E138" s="1869"/>
      <c r="F138" s="1869"/>
      <c r="G138" s="117"/>
      <c r="H138" s="117"/>
      <c r="I138" s="117"/>
      <c r="J138" s="117"/>
      <c r="K138" s="117"/>
      <c r="L138" s="117"/>
      <c r="M138" s="117"/>
      <c r="N138" s="117"/>
      <c r="O138" s="117"/>
      <c r="P138" s="117"/>
      <c r="Q138" s="117"/>
      <c r="R138" s="117"/>
      <c r="S138" s="117"/>
      <c r="T138" s="330"/>
      <c r="U138" s="331"/>
    </row>
    <row r="139" spans="1:21" ht="12.75">
      <c r="A139" s="1872" t="s">
        <v>1003</v>
      </c>
      <c r="B139" s="1872"/>
      <c r="C139" s="1872"/>
      <c r="D139" s="328"/>
      <c r="E139" s="117" t="s">
        <v>997</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A65" sqref="A65"/>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8" t="s">
        <v>1226</v>
      </c>
      <c r="B1" s="1879"/>
      <c r="C1" s="1879"/>
      <c r="D1" s="1879"/>
      <c r="E1" s="1879"/>
      <c r="F1" s="1879"/>
      <c r="G1" s="1879"/>
      <c r="H1" s="1879"/>
      <c r="I1" s="1879"/>
      <c r="J1" s="1880"/>
      <c r="K1" s="355"/>
    </row>
    <row r="2" spans="1:11" s="401" customFormat="1" ht="72">
      <c r="A2" s="398"/>
      <c r="B2" s="399" t="s">
        <v>1026</v>
      </c>
      <c r="C2" s="399" t="s">
        <v>1228</v>
      </c>
      <c r="D2" s="399" t="s">
        <v>1229</v>
      </c>
      <c r="E2" s="399" t="s">
        <v>1157</v>
      </c>
      <c r="F2" s="399" t="s">
        <v>1230</v>
      </c>
      <c r="G2" s="399" t="s">
        <v>1231</v>
      </c>
      <c r="H2" s="399" t="s">
        <v>1027</v>
      </c>
      <c r="I2" s="399" t="s">
        <v>1232</v>
      </c>
      <c r="J2" s="399" t="s">
        <v>1233</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0</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0</v>
      </c>
      <c r="C12" s="361">
        <f>SUM(C8+C11)</f>
        <v>0</v>
      </c>
      <c r="D12" s="361">
        <f>SUM(D8+D11)</f>
        <v>0</v>
      </c>
      <c r="E12" s="363"/>
      <c r="F12" s="363"/>
      <c r="G12" s="363"/>
      <c r="H12" s="363"/>
      <c r="I12" s="363"/>
      <c r="J12" s="363"/>
      <c r="K12" s="359"/>
    </row>
    <row r="13" spans="1:11" s="360" customFormat="1">
      <c r="A13" s="366" t="s">
        <v>902</v>
      </c>
      <c r="B13" s="361">
        <f>'Sources and Uses Budget'!C13</f>
        <v>114300</v>
      </c>
      <c r="C13" s="362">
        <f>B13</f>
        <v>114300</v>
      </c>
      <c r="D13" s="362"/>
      <c r="E13" s="361">
        <f>'Sources and Uses Budget'!S13</f>
        <v>0</v>
      </c>
      <c r="F13" s="362">
        <f>E13</f>
        <v>0</v>
      </c>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0</v>
      </c>
      <c r="C29" s="362">
        <f>B29</f>
        <v>0</v>
      </c>
      <c r="D29" s="362"/>
      <c r="E29" s="361">
        <f>'Sources and Uses Budget'!S29</f>
        <v>0</v>
      </c>
      <c r="F29" s="362">
        <f>E29</f>
        <v>0</v>
      </c>
      <c r="G29" s="362"/>
      <c r="H29" s="361">
        <f>'Sources and Uses Budget'!T29</f>
        <v>0</v>
      </c>
      <c r="I29" s="362"/>
      <c r="J29" s="362"/>
      <c r="K29" s="359"/>
    </row>
    <row r="30" spans="1:11" s="360" customFormat="1">
      <c r="A30" s="145" t="s">
        <v>599</v>
      </c>
      <c r="B30" s="361">
        <f>'Sources and Uses Budget'!C30</f>
        <v>70691438</v>
      </c>
      <c r="C30" s="362">
        <f t="shared" ref="C30:C37" si="0">B30</f>
        <v>70691438</v>
      </c>
      <c r="D30" s="362"/>
      <c r="E30" s="361">
        <f>'Sources and Uses Budget'!S30</f>
        <v>70691438</v>
      </c>
      <c r="F30" s="362">
        <f t="shared" ref="F30:F37" si="1">E30</f>
        <v>70691438</v>
      </c>
      <c r="G30" s="362"/>
      <c r="H30" s="361">
        <f>'Sources and Uses Budget'!T30</f>
        <v>0</v>
      </c>
      <c r="I30" s="362"/>
      <c r="J30" s="362"/>
      <c r="K30" s="359"/>
    </row>
    <row r="31" spans="1:11" s="360" customFormat="1">
      <c r="A31" s="145" t="s">
        <v>600</v>
      </c>
      <c r="B31" s="361">
        <f>'Sources and Uses Budget'!C31</f>
        <v>4531138</v>
      </c>
      <c r="C31" s="362">
        <f t="shared" si="0"/>
        <v>4531138</v>
      </c>
      <c r="D31" s="362"/>
      <c r="E31" s="361">
        <f>'Sources and Uses Budget'!S31</f>
        <v>4531138</v>
      </c>
      <c r="F31" s="362">
        <f t="shared" si="1"/>
        <v>4531138</v>
      </c>
      <c r="G31" s="362"/>
      <c r="H31" s="361">
        <f>'Sources and Uses Budget'!T31</f>
        <v>0</v>
      </c>
      <c r="I31" s="362"/>
      <c r="J31" s="362"/>
      <c r="K31" s="359"/>
    </row>
    <row r="32" spans="1:11" s="360" customFormat="1">
      <c r="A32" s="145" t="s">
        <v>137</v>
      </c>
      <c r="B32" s="361">
        <f>'Sources and Uses Budget'!C32</f>
        <v>3008903</v>
      </c>
      <c r="C32" s="362">
        <f>B32</f>
        <v>3008903</v>
      </c>
      <c r="D32" s="362"/>
      <c r="E32" s="361">
        <f>'Sources and Uses Budget'!S32</f>
        <v>3008903</v>
      </c>
      <c r="F32" s="362">
        <f>E32</f>
        <v>3008903</v>
      </c>
      <c r="G32" s="362"/>
      <c r="H32" s="361">
        <f>'Sources and Uses Budget'!T32</f>
        <v>0</v>
      </c>
      <c r="I32" s="362"/>
      <c r="J32" s="362"/>
      <c r="K32" s="359"/>
    </row>
    <row r="33" spans="1:11" s="360" customFormat="1">
      <c r="A33" s="145" t="s">
        <v>138</v>
      </c>
      <c r="B33" s="361">
        <f>'Sources and Uses Budget'!C33</f>
        <v>0</v>
      </c>
      <c r="C33" s="362">
        <f>B33</f>
        <v>0</v>
      </c>
      <c r="D33" s="362"/>
      <c r="E33" s="361">
        <f>'Sources and Uses Budget'!S33</f>
        <v>0</v>
      </c>
      <c r="F33" s="362">
        <f>E33</f>
        <v>0</v>
      </c>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391158</v>
      </c>
      <c r="C35" s="362">
        <f t="shared" si="0"/>
        <v>391158</v>
      </c>
      <c r="D35" s="362"/>
      <c r="E35" s="361">
        <f>'Sources and Uses Budget'!S35</f>
        <v>391158</v>
      </c>
      <c r="F35" s="362">
        <f t="shared" si="1"/>
        <v>391158</v>
      </c>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 xml:space="preserve">Other: Payment &amp; Performance Bonds </v>
      </c>
      <c r="B37" s="361">
        <f>'Sources and Uses Budget'!C37</f>
        <v>786226</v>
      </c>
      <c r="C37" s="362">
        <f t="shared" si="0"/>
        <v>786226</v>
      </c>
      <c r="D37" s="362"/>
      <c r="E37" s="361">
        <f>'Sources and Uses Budget'!S37</f>
        <v>786226</v>
      </c>
      <c r="F37" s="362">
        <f t="shared" si="1"/>
        <v>786226</v>
      </c>
      <c r="G37" s="362"/>
      <c r="H37" s="361">
        <f>'Sources and Uses Budget'!T37</f>
        <v>0</v>
      </c>
      <c r="I37" s="362"/>
      <c r="J37" s="362"/>
      <c r="K37" s="359"/>
    </row>
    <row r="38" spans="1:11" s="360" customFormat="1">
      <c r="A38" s="365" t="s">
        <v>143</v>
      </c>
      <c r="B38" s="361">
        <f>'Sources and Uses Budget'!C38</f>
        <v>79408863</v>
      </c>
      <c r="C38" s="361">
        <f>SUM(C29:C37)</f>
        <v>79408863</v>
      </c>
      <c r="D38" s="361">
        <f>SUM(D29:D37)</f>
        <v>0</v>
      </c>
      <c r="E38" s="361">
        <f>'Sources and Uses Budget'!S38</f>
        <v>79408863</v>
      </c>
      <c r="F38" s="367">
        <f>SUM(F29:F37)</f>
        <v>79408863</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1010000</v>
      </c>
      <c r="C40" s="362">
        <f>B40</f>
        <v>1010000</v>
      </c>
      <c r="D40" s="362"/>
      <c r="E40" s="361">
        <f>'Sources and Uses Budget'!S40</f>
        <v>1010000</v>
      </c>
      <c r="F40" s="362">
        <f>E40</f>
        <v>1010000</v>
      </c>
      <c r="G40" s="362"/>
      <c r="H40" s="361">
        <f>'Sources and Uses Budget'!T40</f>
        <v>0</v>
      </c>
      <c r="I40" s="362"/>
      <c r="J40" s="362"/>
      <c r="K40" s="359"/>
    </row>
    <row r="41" spans="1:11" s="360" customFormat="1">
      <c r="A41" s="364" t="s">
        <v>146</v>
      </c>
      <c r="B41" s="361">
        <f>'Sources and Uses Budget'!C41</f>
        <v>240000</v>
      </c>
      <c r="C41" s="362">
        <f>B41</f>
        <v>240000</v>
      </c>
      <c r="D41" s="362"/>
      <c r="E41" s="361">
        <f>'Sources and Uses Budget'!S41</f>
        <v>240000</v>
      </c>
      <c r="F41" s="362">
        <f>E41</f>
        <v>240000</v>
      </c>
      <c r="G41" s="362"/>
      <c r="H41" s="361">
        <f>'Sources and Uses Budget'!T41</f>
        <v>0</v>
      </c>
      <c r="I41" s="362"/>
      <c r="J41" s="362"/>
      <c r="K41" s="359"/>
    </row>
    <row r="42" spans="1:11" s="360" customFormat="1">
      <c r="A42" s="365" t="s">
        <v>147</v>
      </c>
      <c r="B42" s="361">
        <f>'Sources and Uses Budget'!C42</f>
        <v>1250000</v>
      </c>
      <c r="C42" s="361">
        <f>SUM(C39:C41)</f>
        <v>1250000</v>
      </c>
      <c r="D42" s="361">
        <f>SUM(D39:D41)</f>
        <v>0</v>
      </c>
      <c r="E42" s="361">
        <f>'Sources and Uses Budget'!S42</f>
        <v>1250000</v>
      </c>
      <c r="F42" s="367">
        <f>SUM(F40:F41)</f>
        <v>1250000</v>
      </c>
      <c r="G42" s="367">
        <f>SUM(G40:G41)</f>
        <v>0</v>
      </c>
      <c r="H42" s="361">
        <f>'Sources and Uses Budget'!T42</f>
        <v>0</v>
      </c>
      <c r="I42" s="367">
        <f>SUM(I40:I41)</f>
        <v>0</v>
      </c>
      <c r="J42" s="367">
        <f>SUM(J40:J41)</f>
        <v>0</v>
      </c>
      <c r="K42" s="359"/>
    </row>
    <row r="43" spans="1:11" s="360" customFormat="1">
      <c r="A43" s="365" t="s">
        <v>148</v>
      </c>
      <c r="B43" s="361">
        <f>'Sources and Uses Budget'!C43</f>
        <v>1391800</v>
      </c>
      <c r="C43" s="362">
        <f>B43</f>
        <v>1391800</v>
      </c>
      <c r="D43" s="362"/>
      <c r="E43" s="361">
        <f>'Sources and Uses Budget'!S43</f>
        <v>1391800</v>
      </c>
      <c r="F43" s="362">
        <f>E43</f>
        <v>1391800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5675453</v>
      </c>
      <c r="C45" s="362">
        <f>B45</f>
        <v>5675453</v>
      </c>
      <c r="D45" s="362"/>
      <c r="E45" s="361">
        <f>'Sources and Uses Budget'!S45</f>
        <v>5675453</v>
      </c>
      <c r="F45" s="362">
        <f>E45</f>
        <v>5675453</v>
      </c>
      <c r="G45" s="362"/>
      <c r="H45" s="361">
        <f>'Sources and Uses Budget'!T45</f>
        <v>0</v>
      </c>
      <c r="I45" s="362"/>
      <c r="J45" s="362"/>
      <c r="K45" s="359"/>
    </row>
    <row r="46" spans="1:11" s="360" customFormat="1">
      <c r="A46" s="364" t="s">
        <v>151</v>
      </c>
      <c r="B46" s="361">
        <f>'Sources and Uses Budget'!C46</f>
        <v>775350</v>
      </c>
      <c r="C46" s="362">
        <f t="shared" ref="C46:C53" si="2">B46</f>
        <v>775350</v>
      </c>
      <c r="D46" s="362"/>
      <c r="E46" s="361">
        <f>'Sources and Uses Budget'!S46</f>
        <v>612527</v>
      </c>
      <c r="F46" s="362">
        <f t="shared" ref="F46:F53" si="3">E46</f>
        <v>612527</v>
      </c>
      <c r="G46" s="362"/>
      <c r="H46" s="361">
        <f>'Sources and Uses Budget'!T46</f>
        <v>0</v>
      </c>
      <c r="I46" s="362"/>
      <c r="J46" s="362"/>
      <c r="K46" s="359"/>
    </row>
    <row r="47" spans="1:11" s="360" customFormat="1" ht="12" customHeight="1">
      <c r="A47" s="364" t="s">
        <v>152</v>
      </c>
      <c r="B47" s="361">
        <f>'Sources and Uses Budget'!C47</f>
        <v>996400</v>
      </c>
      <c r="C47" s="362">
        <f t="shared" si="2"/>
        <v>996400</v>
      </c>
      <c r="D47" s="362"/>
      <c r="E47" s="361">
        <f>'Sources and Uses Budget'!S47</f>
        <v>796900</v>
      </c>
      <c r="F47" s="362">
        <f t="shared" si="3"/>
        <v>796900</v>
      </c>
      <c r="G47" s="362"/>
      <c r="H47" s="361">
        <f>'Sources and Uses Budget'!T47</f>
        <v>0</v>
      </c>
      <c r="I47" s="362"/>
      <c r="J47" s="362"/>
      <c r="K47" s="359"/>
    </row>
    <row r="48" spans="1:11" s="360" customFormat="1">
      <c r="A48" s="364" t="s">
        <v>153</v>
      </c>
      <c r="B48" s="361">
        <f>'Sources and Uses Budget'!C48</f>
        <v>337960</v>
      </c>
      <c r="C48" s="362">
        <f t="shared" si="2"/>
        <v>337960</v>
      </c>
      <c r="D48" s="362"/>
      <c r="E48" s="361">
        <f>'Sources and Uses Budget'!S48</f>
        <v>337960</v>
      </c>
      <c r="F48" s="362">
        <f>E48</f>
        <v>337960</v>
      </c>
      <c r="G48" s="362"/>
      <c r="H48" s="361">
        <f>'Sources and Uses Budget'!T48</f>
        <v>0</v>
      </c>
      <c r="I48" s="362"/>
      <c r="J48" s="362"/>
      <c r="K48" s="359"/>
    </row>
    <row r="49" spans="1:11" s="360" customFormat="1">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119000</v>
      </c>
      <c r="C50" s="362">
        <f t="shared" si="2"/>
        <v>119000</v>
      </c>
      <c r="D50" s="362"/>
      <c r="E50" s="361">
        <f>'Sources and Uses Budget'!S50</f>
        <v>104000</v>
      </c>
      <c r="F50" s="362">
        <f t="shared" si="3"/>
        <v>104000</v>
      </c>
      <c r="G50" s="362"/>
      <c r="H50" s="361">
        <f>'Sources and Uses Budget'!T50</f>
        <v>0</v>
      </c>
      <c r="I50" s="362"/>
      <c r="J50" s="362"/>
      <c r="K50" s="359"/>
    </row>
    <row r="51" spans="1:11" s="360" customFormat="1">
      <c r="A51" s="364" t="s">
        <v>154</v>
      </c>
      <c r="B51" s="361">
        <f>'Sources and Uses Budget'!C51</f>
        <v>748500</v>
      </c>
      <c r="C51" s="362">
        <f t="shared" si="2"/>
        <v>748500</v>
      </c>
      <c r="D51" s="362"/>
      <c r="E51" s="361">
        <f>'Sources and Uses Budget'!S51</f>
        <v>50000</v>
      </c>
      <c r="F51" s="362">
        <f t="shared" si="3"/>
        <v>50000</v>
      </c>
      <c r="G51" s="362"/>
      <c r="H51" s="361">
        <f>'Sources and Uses Budget'!T51</f>
        <v>0</v>
      </c>
      <c r="I51" s="362"/>
      <c r="J51" s="362"/>
      <c r="K51" s="359"/>
    </row>
    <row r="52" spans="1:11" s="360" customFormat="1">
      <c r="A52" s="364" t="s">
        <v>155</v>
      </c>
      <c r="B52" s="361">
        <f>'Sources and Uses Budget'!C52</f>
        <v>1420000</v>
      </c>
      <c r="C52" s="362">
        <f t="shared" si="2"/>
        <v>1420000</v>
      </c>
      <c r="D52" s="362"/>
      <c r="E52" s="361">
        <f>'Sources and Uses Budget'!S52</f>
        <v>1420000</v>
      </c>
      <c r="F52" s="362">
        <f t="shared" si="3"/>
        <v>1420000</v>
      </c>
      <c r="G52" s="362"/>
      <c r="H52" s="361">
        <f>'Sources and Uses Budget'!T52</f>
        <v>0</v>
      </c>
      <c r="I52" s="362"/>
      <c r="J52" s="362"/>
      <c r="K52" s="359"/>
    </row>
    <row r="53" spans="1:11" s="360" customFormat="1">
      <c r="A53" s="364" t="str">
        <f>'Sources and Uses Budget'!$A53</f>
        <v>Ground Lease Interest Pre-Conversion</v>
      </c>
      <c r="B53" s="361">
        <f>'Sources and Uses Budget'!C53</f>
        <v>2129378</v>
      </c>
      <c r="C53" s="362">
        <f t="shared" si="2"/>
        <v>2129378</v>
      </c>
      <c r="D53" s="362"/>
      <c r="E53" s="361">
        <f>'Sources and Uses Budget'!S53</f>
        <v>0</v>
      </c>
      <c r="F53" s="362">
        <f t="shared" si="3"/>
        <v>0</v>
      </c>
      <c r="G53" s="362"/>
      <c r="H53" s="361">
        <f>'Sources and Uses Budget'!T53</f>
        <v>0</v>
      </c>
      <c r="I53" s="362"/>
      <c r="J53" s="362"/>
      <c r="K53" s="359"/>
    </row>
    <row r="54" spans="1:11" s="369" customFormat="1">
      <c r="A54" s="365" t="s">
        <v>157</v>
      </c>
      <c r="B54" s="361">
        <f>'Sources and Uses Budget'!C54</f>
        <v>12202041</v>
      </c>
      <c r="C54" s="367">
        <f>SUM(C45:C53)</f>
        <v>12202041</v>
      </c>
      <c r="D54" s="367">
        <f>SUM(D45:D53)</f>
        <v>0</v>
      </c>
      <c r="E54" s="361">
        <f>'Sources and Uses Budget'!S54</f>
        <v>8996840</v>
      </c>
      <c r="F54" s="367">
        <f>SUM(F45:F53)</f>
        <v>8996840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479583</v>
      </c>
      <c r="C56" s="362">
        <f>B56</f>
        <v>479583</v>
      </c>
      <c r="D56" s="362"/>
      <c r="E56" s="363"/>
      <c r="F56" s="363"/>
      <c r="G56" s="363"/>
      <c r="H56" s="363"/>
      <c r="I56" s="363"/>
      <c r="J56" s="363"/>
      <c r="K56" s="359"/>
    </row>
    <row r="57" spans="1:11" s="360" customFormat="1" ht="12" customHeight="1">
      <c r="A57" s="364" t="s">
        <v>152</v>
      </c>
      <c r="B57" s="361">
        <f>'Sources and Uses Budget'!C57</f>
        <v>30000</v>
      </c>
      <c r="C57" s="362">
        <f t="shared" ref="C57:C61" si="4">B57</f>
        <v>30000</v>
      </c>
      <c r="D57" s="362"/>
      <c r="E57" s="363"/>
      <c r="F57" s="363"/>
      <c r="G57" s="363"/>
      <c r="H57" s="363"/>
      <c r="I57" s="363"/>
      <c r="J57" s="363"/>
      <c r="K57" s="359"/>
    </row>
    <row r="58" spans="1:11" s="360" customFormat="1">
      <c r="A58" s="364" t="s">
        <v>156</v>
      </c>
      <c r="B58" s="361">
        <f>'Sources and Uses Budget'!C58</f>
        <v>51000</v>
      </c>
      <c r="C58" s="362">
        <f t="shared" si="4"/>
        <v>51000</v>
      </c>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Construction Loan Interest Post-CofO</v>
      </c>
      <c r="B61" s="361">
        <f>'Sources and Uses Budget'!C61</f>
        <v>3568206</v>
      </c>
      <c r="C61" s="362">
        <f t="shared" si="4"/>
        <v>3568206</v>
      </c>
      <c r="D61" s="362"/>
      <c r="E61" s="363"/>
      <c r="F61" s="363"/>
      <c r="G61" s="363"/>
      <c r="H61" s="363"/>
      <c r="I61" s="363"/>
      <c r="J61" s="363"/>
      <c r="K61" s="359"/>
    </row>
    <row r="62" spans="1:11" s="360" customFormat="1" ht="13.7" customHeight="1">
      <c r="A62" s="365" t="s">
        <v>301</v>
      </c>
      <c r="B62" s="361">
        <f>'Sources and Uses Budget'!C62</f>
        <v>4128789</v>
      </c>
      <c r="C62" s="361">
        <f>SUM(C56:C61)</f>
        <v>4128789</v>
      </c>
      <c r="D62" s="361">
        <f>SUM(D56:D61)</f>
        <v>0</v>
      </c>
      <c r="E62" s="363"/>
      <c r="F62" s="363"/>
      <c r="G62" s="363"/>
      <c r="H62" s="363"/>
      <c r="I62" s="363"/>
      <c r="J62" s="363"/>
      <c r="K62" s="359"/>
    </row>
    <row r="63" spans="1:11" s="360" customFormat="1">
      <c r="A63" s="370" t="s">
        <v>302</v>
      </c>
      <c r="B63" s="361">
        <f>'Sources and Uses Budget'!C63</f>
        <v>98495793</v>
      </c>
      <c r="C63" s="361">
        <f>SUM(C8+C11+C13+C14+C15+C26+C27+C38+C42+C43+C54+C62)</f>
        <v>98495793</v>
      </c>
      <c r="D63" s="361">
        <f>SUM(D8+D11+D13+D14+D15+D26+D27+D38+D42+D43+D54+D62)</f>
        <v>0</v>
      </c>
      <c r="E63" s="361">
        <f>'Sources and Uses Budget'!S63</f>
        <v>91047503</v>
      </c>
      <c r="F63" s="361">
        <f>SUM(F10+F13+F14+F15+F26+F27+F38+F42+F43+F54)</f>
        <v>91047503</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171</v>
      </c>
      <c r="B65" s="361">
        <f>'Sources and Uses Budget'!C65</f>
        <v>255000</v>
      </c>
      <c r="C65" s="362">
        <f>B65</f>
        <v>255000</v>
      </c>
      <c r="D65" s="362"/>
      <c r="E65" s="361">
        <f>'Sources and Uses Budget'!S65</f>
        <v>163750</v>
      </c>
      <c r="F65" s="362">
        <f>E65</f>
        <v>163750</v>
      </c>
      <c r="G65" s="362"/>
      <c r="H65" s="361">
        <f>'Sources and Uses Budget'!T65</f>
        <v>0</v>
      </c>
      <c r="I65" s="362"/>
      <c r="J65" s="362"/>
      <c r="K65" s="359"/>
    </row>
    <row r="66" spans="1:11" s="360" customFormat="1" ht="24">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Partnership Legal/Other</v>
      </c>
      <c r="B69" s="361">
        <f>'Sources and Uses Budget'!C69</f>
        <v>295000</v>
      </c>
      <c r="C69" s="362">
        <f t="shared" ref="C69" si="5">B69</f>
        <v>295000</v>
      </c>
      <c r="D69" s="362"/>
      <c r="E69" s="361">
        <f>'Sources and Uses Budget'!S69</f>
        <v>295000</v>
      </c>
      <c r="F69" s="362">
        <f>E69</f>
        <v>295000</v>
      </c>
      <c r="G69" s="362"/>
      <c r="H69" s="361">
        <f>'Sources and Uses Budget'!T69</f>
        <v>0</v>
      </c>
      <c r="I69" s="362"/>
      <c r="J69" s="362"/>
      <c r="K69" s="359"/>
    </row>
    <row r="70" spans="1:11" s="360" customFormat="1">
      <c r="A70" s="365" t="s">
        <v>601</v>
      </c>
      <c r="B70" s="361">
        <f>'Sources and Uses Budget'!C70</f>
        <v>550000</v>
      </c>
      <c r="C70" s="361">
        <f>SUM(C64:C69)</f>
        <v>550000</v>
      </c>
      <c r="D70" s="361">
        <f>SUM(D64:D69)</f>
        <v>0</v>
      </c>
      <c r="E70" s="361">
        <f>'Sources and Uses Budget'!S70</f>
        <v>458750</v>
      </c>
      <c r="F70" s="367">
        <f>SUM(F65:F69)</f>
        <v>458750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605</v>
      </c>
      <c r="B75" s="361">
        <f>'Sources and Uses Budget'!C75</f>
        <v>1877479</v>
      </c>
      <c r="C75" s="362">
        <f>B75</f>
        <v>1877479</v>
      </c>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1877479</v>
      </c>
      <c r="C77" s="361">
        <f>SUM(C72:C76)</f>
        <v>1877479</v>
      </c>
      <c r="D77" s="361">
        <f>SUM(D72:D76)</f>
        <v>0</v>
      </c>
      <c r="E77" s="363"/>
      <c r="F77" s="363"/>
      <c r="G77" s="363"/>
      <c r="H77" s="363"/>
      <c r="I77" s="363"/>
      <c r="J77" s="363"/>
      <c r="K77" s="359"/>
    </row>
    <row r="78" spans="1:11" s="360" customFormat="1">
      <c r="A78" s="357" t="s">
        <v>1209</v>
      </c>
      <c r="B78" s="358"/>
      <c r="C78" s="358"/>
      <c r="D78" s="358"/>
      <c r="E78" s="358"/>
      <c r="F78" s="358"/>
      <c r="G78" s="358"/>
      <c r="H78" s="358"/>
      <c r="I78" s="358"/>
      <c r="J78" s="358"/>
      <c r="K78" s="359"/>
    </row>
    <row r="79" spans="1:11" s="360" customFormat="1">
      <c r="A79" s="364" t="s">
        <v>1211</v>
      </c>
      <c r="B79" s="361">
        <f>'Sources and Uses Budget'!C79</f>
        <v>3970443</v>
      </c>
      <c r="C79" s="362">
        <f>B79</f>
        <v>3970443</v>
      </c>
      <c r="D79" s="362"/>
      <c r="E79" s="361">
        <f>'Sources and Uses Budget'!S79</f>
        <v>3970443</v>
      </c>
      <c r="F79" s="362">
        <f>E79</f>
        <v>3970443</v>
      </c>
      <c r="G79" s="362"/>
      <c r="H79" s="361">
        <f>'Sources and Uses Budget'!T79</f>
        <v>0</v>
      </c>
      <c r="I79" s="362"/>
      <c r="J79" s="362"/>
      <c r="K79" s="359"/>
    </row>
    <row r="80" spans="1:11" s="360" customFormat="1">
      <c r="A80" s="364" t="s">
        <v>58</v>
      </c>
      <c r="B80" s="361">
        <f>'Sources and Uses Budget'!C80</f>
        <v>1100000</v>
      </c>
      <c r="C80" s="362">
        <f>B80</f>
        <v>1100000</v>
      </c>
      <c r="D80" s="362"/>
      <c r="E80" s="361">
        <f>'Sources and Uses Budget'!S80</f>
        <v>1100000</v>
      </c>
      <c r="F80" s="362">
        <f>E80</f>
        <v>1100000</v>
      </c>
      <c r="G80" s="362"/>
      <c r="H80" s="361">
        <f>'Sources and Uses Budget'!T80</f>
        <v>0</v>
      </c>
      <c r="I80" s="362"/>
      <c r="J80" s="362"/>
      <c r="K80" s="359"/>
    </row>
    <row r="81" spans="1:11" s="360" customFormat="1">
      <c r="A81" s="365" t="s">
        <v>1208</v>
      </c>
      <c r="B81" s="361">
        <f>'Sources and Uses Budget'!C81</f>
        <v>5070443</v>
      </c>
      <c r="C81" s="361">
        <f>SUM(C79:C80)</f>
        <v>5070443</v>
      </c>
      <c r="D81" s="361">
        <f>SUM(D79:D80)</f>
        <v>0</v>
      </c>
      <c r="E81" s="361">
        <f>'Sources and Uses Budget'!S81</f>
        <v>5070443</v>
      </c>
      <c r="F81" s="361">
        <f>SUM(F79:F80)</f>
        <v>5070443</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2094</v>
      </c>
      <c r="B83" s="361">
        <f>'Sources and Uses Budget'!C83</f>
        <v>149324</v>
      </c>
      <c r="C83" s="362">
        <f>B83</f>
        <v>149324</v>
      </c>
      <c r="D83" s="362"/>
      <c r="E83" s="363"/>
      <c r="F83" s="363"/>
      <c r="G83" s="363"/>
      <c r="H83" s="363"/>
      <c r="I83" s="363"/>
      <c r="J83" s="363"/>
      <c r="K83" s="359"/>
    </row>
    <row r="84" spans="1:11" s="360" customFormat="1">
      <c r="A84" s="145" t="s">
        <v>767</v>
      </c>
      <c r="B84" s="361">
        <f>'Sources and Uses Budget'!C84</f>
        <v>9300</v>
      </c>
      <c r="C84" s="362">
        <f t="shared" ref="C84:C94" si="6">B84</f>
        <v>9300</v>
      </c>
      <c r="D84" s="362"/>
      <c r="E84" s="361">
        <f>'Sources and Uses Budget'!S84</f>
        <v>9300</v>
      </c>
      <c r="F84" s="362">
        <f>E84</f>
        <v>9300</v>
      </c>
      <c r="G84" s="362"/>
      <c r="H84" s="361">
        <f>'Sources and Uses Budget'!T84</f>
        <v>0</v>
      </c>
      <c r="I84" s="362"/>
      <c r="J84" s="362"/>
      <c r="K84" s="359"/>
    </row>
    <row r="85" spans="1:11" s="360" customFormat="1">
      <c r="A85" s="145" t="s">
        <v>768</v>
      </c>
      <c r="B85" s="361">
        <f>'Sources and Uses Budget'!C85</f>
        <v>224115</v>
      </c>
      <c r="C85" s="362">
        <f t="shared" si="6"/>
        <v>224115</v>
      </c>
      <c r="D85" s="362"/>
      <c r="E85" s="361">
        <f>'Sources and Uses Budget'!S85</f>
        <v>224115</v>
      </c>
      <c r="F85" s="362">
        <f t="shared" ref="F85:F86" si="7">E85</f>
        <v>224115</v>
      </c>
      <c r="G85" s="362"/>
      <c r="H85" s="361">
        <f>'Sources and Uses Budget'!T85</f>
        <v>0</v>
      </c>
      <c r="I85" s="362"/>
      <c r="J85" s="362"/>
      <c r="K85" s="359"/>
    </row>
    <row r="86" spans="1:11" s="360" customFormat="1">
      <c r="A86" s="145" t="s">
        <v>769</v>
      </c>
      <c r="B86" s="361">
        <f>'Sources and Uses Budget'!C86</f>
        <v>1773705</v>
      </c>
      <c r="C86" s="362">
        <f t="shared" si="6"/>
        <v>1773705</v>
      </c>
      <c r="D86" s="362"/>
      <c r="E86" s="361">
        <f>'Sources and Uses Budget'!S86</f>
        <v>1773705</v>
      </c>
      <c r="F86" s="362">
        <f t="shared" si="7"/>
        <v>1773705</v>
      </c>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214000</v>
      </c>
      <c r="C88" s="362">
        <f t="shared" si="6"/>
        <v>214000</v>
      </c>
      <c r="D88" s="362"/>
      <c r="E88" s="363"/>
      <c r="F88" s="363"/>
      <c r="G88" s="363"/>
      <c r="H88" s="363"/>
      <c r="I88" s="363"/>
      <c r="J88" s="363"/>
      <c r="K88" s="359"/>
    </row>
    <row r="89" spans="1:11" s="360" customFormat="1">
      <c r="A89" s="145" t="s">
        <v>772</v>
      </c>
      <c r="B89" s="361">
        <f>'Sources and Uses Budget'!C89</f>
        <v>1020000</v>
      </c>
      <c r="C89" s="362">
        <f t="shared" si="6"/>
        <v>1020000</v>
      </c>
      <c r="D89" s="362"/>
      <c r="E89" s="361">
        <f>'Sources and Uses Budget'!S89</f>
        <v>230000</v>
      </c>
      <c r="F89" s="362">
        <f>E89</f>
        <v>230000</v>
      </c>
      <c r="G89" s="362"/>
      <c r="H89" s="361">
        <f>'Sources and Uses Budget'!T89</f>
        <v>0</v>
      </c>
      <c r="I89" s="362"/>
      <c r="J89" s="362"/>
      <c r="K89" s="359"/>
    </row>
    <row r="90" spans="1:11" s="360" customFormat="1">
      <c r="A90" s="145" t="s">
        <v>773</v>
      </c>
      <c r="B90" s="361">
        <f>'Sources and Uses Budget'!C90</f>
        <v>7600</v>
      </c>
      <c r="C90" s="362">
        <f t="shared" si="6"/>
        <v>7600</v>
      </c>
      <c r="D90" s="362"/>
      <c r="E90" s="361">
        <f>'Sources and Uses Budget'!S90</f>
        <v>7600</v>
      </c>
      <c r="F90" s="362">
        <f t="shared" ref="F90:F94" si="8">E90</f>
        <v>7600</v>
      </c>
      <c r="G90" s="362"/>
      <c r="H90" s="361">
        <f>'Sources and Uses Budget'!T90</f>
        <v>0</v>
      </c>
      <c r="I90" s="362"/>
      <c r="J90" s="362"/>
      <c r="K90" s="359"/>
    </row>
    <row r="91" spans="1:11" s="360" customFormat="1">
      <c r="A91" s="155" t="s">
        <v>372</v>
      </c>
      <c r="B91" s="361">
        <f>'Sources and Uses Budget'!C91</f>
        <v>120000</v>
      </c>
      <c r="C91" s="362">
        <f t="shared" si="6"/>
        <v>120000</v>
      </c>
      <c r="D91" s="362"/>
      <c r="E91" s="361">
        <f>'Sources and Uses Budget'!S91</f>
        <v>0</v>
      </c>
      <c r="F91" s="362"/>
      <c r="G91" s="362"/>
      <c r="H91" s="361">
        <f>'Sources and Uses Budget'!T91</f>
        <v>0</v>
      </c>
      <c r="I91" s="362"/>
      <c r="J91" s="362"/>
      <c r="K91" s="359"/>
    </row>
    <row r="92" spans="1:11" s="360" customFormat="1">
      <c r="A92" s="508" t="s">
        <v>1210</v>
      </c>
      <c r="B92" s="361">
        <f>'Sources and Uses Budget'!C92</f>
        <v>0</v>
      </c>
      <c r="C92" s="362"/>
      <c r="D92" s="362"/>
      <c r="E92" s="361">
        <f>'Sources and Uses Budget'!S92</f>
        <v>0</v>
      </c>
      <c r="F92" s="362"/>
      <c r="G92" s="362"/>
      <c r="H92" s="361">
        <f>'Sources and Uses Budget'!T92</f>
        <v>0</v>
      </c>
      <c r="I92" s="362"/>
      <c r="J92" s="362"/>
      <c r="K92" s="359"/>
    </row>
    <row r="93" spans="1:11" s="360" customFormat="1" ht="24">
      <c r="A93" s="364" t="str">
        <f>'Sources and Uses Budget'!$A93</f>
        <v>Other: Organizational Costs &amp; Misc. Fees</v>
      </c>
      <c r="B93" s="361">
        <f>'Sources and Uses Budget'!C93</f>
        <v>18200</v>
      </c>
      <c r="C93" s="362">
        <f t="shared" si="6"/>
        <v>18200</v>
      </c>
      <c r="D93" s="362"/>
      <c r="E93" s="361">
        <f>'Sources and Uses Budget'!S93</f>
        <v>15000</v>
      </c>
      <c r="F93" s="362">
        <f t="shared" si="8"/>
        <v>15000</v>
      </c>
      <c r="G93" s="362"/>
      <c r="H93" s="361">
        <f>'Sources and Uses Budget'!T93</f>
        <v>0</v>
      </c>
      <c r="I93" s="362"/>
      <c r="J93" s="362"/>
      <c r="K93" s="359"/>
    </row>
    <row r="94" spans="1:11" s="360" customFormat="1">
      <c r="A94" s="364" t="str">
        <f>'Sources and Uses Budget'!$A94</f>
        <v>Other: Utility Connections/Deposits</v>
      </c>
      <c r="B94" s="361">
        <f>'Sources and Uses Budget'!C94</f>
        <v>355000</v>
      </c>
      <c r="C94" s="362">
        <f t="shared" si="6"/>
        <v>355000</v>
      </c>
      <c r="D94" s="362"/>
      <c r="E94" s="361">
        <f>'Sources and Uses Budget'!S94</f>
        <v>195000</v>
      </c>
      <c r="F94" s="362">
        <f t="shared" si="8"/>
        <v>195000</v>
      </c>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3891244</v>
      </c>
      <c r="C96" s="361">
        <f>SUM(C83:C95)</f>
        <v>3891244</v>
      </c>
      <c r="D96" s="361">
        <f>SUM(D83:D95)</f>
        <v>0</v>
      </c>
      <c r="E96" s="361">
        <f>'Sources and Uses Budget'!S96</f>
        <v>2454720</v>
      </c>
      <c r="F96" s="367">
        <f>SUM(F84:F87,F89:F95)</f>
        <v>2454720</v>
      </c>
      <c r="G96" s="367">
        <f>SUM(G84:G87,G89:G95)</f>
        <v>0</v>
      </c>
      <c r="H96" s="361">
        <f>'Sources and Uses Budget'!T96</f>
        <v>0</v>
      </c>
      <c r="I96" s="361">
        <f>SUM(I84:I87,I89:I95)</f>
        <v>0</v>
      </c>
      <c r="J96" s="361">
        <f>SUM(J84:J87,J89:J95)</f>
        <v>0</v>
      </c>
      <c r="K96" s="359"/>
    </row>
    <row r="97" spans="1:11" s="360" customFormat="1">
      <c r="A97" s="365" t="s">
        <v>1028</v>
      </c>
      <c r="B97" s="361">
        <f>'Sources and Uses Budget'!C97</f>
        <v>109884959</v>
      </c>
      <c r="C97" s="361">
        <f>SUM(C63+C70+C77+C81+C96)</f>
        <v>109884959</v>
      </c>
      <c r="D97" s="361">
        <f>SUM(D63+D70+D77+D81+D96)</f>
        <v>0</v>
      </c>
      <c r="E97" s="361">
        <f>'Sources and Uses Budget'!S97</f>
        <v>99031416</v>
      </c>
      <c r="F97" s="367">
        <f>SUM(+F63+F70+F81+F96)</f>
        <v>99031416</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14854712</v>
      </c>
      <c r="C99" s="362">
        <f>B99</f>
        <v>14854712</v>
      </c>
      <c r="D99" s="362"/>
      <c r="E99" s="361">
        <f>'Sources and Uses Budget'!S99</f>
        <v>14854712</v>
      </c>
      <c r="F99" s="362">
        <f>E99</f>
        <v>14854712</v>
      </c>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14854712</v>
      </c>
      <c r="C104" s="361">
        <f>SUM(C99:C103)</f>
        <v>14854712</v>
      </c>
      <c r="D104" s="361">
        <f>SUM(D99:D103)</f>
        <v>0</v>
      </c>
      <c r="E104" s="361">
        <f>'Sources and Uses Budget'!S104</f>
        <v>14854712</v>
      </c>
      <c r="F104" s="367">
        <f>SUM(F99:F103)</f>
        <v>14854712</v>
      </c>
      <c r="G104" s="367">
        <f>SUM(G99:G103)</f>
        <v>0</v>
      </c>
      <c r="H104" s="361">
        <f>'Sources and Uses Budget'!T104</f>
        <v>0</v>
      </c>
      <c r="I104" s="367">
        <f>SUM(I99:I103)</f>
        <v>0</v>
      </c>
      <c r="J104" s="367">
        <f>SUM(J99:J103)</f>
        <v>0</v>
      </c>
      <c r="K104" s="359"/>
    </row>
    <row r="105" spans="1:11" s="360" customFormat="1">
      <c r="A105" s="365" t="s">
        <v>1029</v>
      </c>
      <c r="B105" s="361">
        <f>'Sources and Uses Budget'!C105</f>
        <v>124739671</v>
      </c>
      <c r="C105" s="367">
        <f>SUM(C97+C104)</f>
        <v>124739671</v>
      </c>
      <c r="D105" s="367">
        <f>SUM(D97+D104)</f>
        <v>0</v>
      </c>
      <c r="E105" s="361">
        <f>'Sources and Uses Budget'!S105</f>
        <v>113886128</v>
      </c>
      <c r="F105" s="367">
        <f>F97+F104</f>
        <v>113886128</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113886128</v>
      </c>
      <c r="F107" s="367">
        <f>F105+F106</f>
        <v>113886128</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6"/>
      <c r="E124" s="1313"/>
      <c r="F124" s="1313"/>
      <c r="G124" s="1313"/>
      <c r="H124" s="1313"/>
      <c r="I124" s="1313"/>
      <c r="J124" s="376"/>
      <c r="K124" s="359"/>
    </row>
    <row r="125" spans="1:11" s="360" customFormat="1" ht="12.75">
      <c r="A125" s="385"/>
      <c r="B125" s="384"/>
      <c r="C125" s="385"/>
      <c r="D125" s="1313"/>
      <c r="E125" s="1313"/>
      <c r="F125" s="1313"/>
      <c r="G125" s="1313"/>
      <c r="H125" s="1313"/>
      <c r="I125" s="1313"/>
      <c r="J125" s="376"/>
      <c r="K125" s="359"/>
    </row>
    <row r="126" spans="1:11" s="360" customFormat="1" ht="12.75">
      <c r="A126" s="385"/>
      <c r="B126" s="384"/>
      <c r="C126" s="385"/>
      <c r="D126" s="1313"/>
      <c r="E126" s="1313"/>
      <c r="F126" s="1313"/>
      <c r="G126" s="1313"/>
      <c r="H126" s="1313"/>
      <c r="I126" s="1313"/>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7"/>
      <c r="B139" s="1313"/>
      <c r="C139" s="1313"/>
      <c r="D139" s="356"/>
      <c r="E139" s="385"/>
      <c r="F139" s="385"/>
      <c r="G139" s="385"/>
    </row>
    <row r="140" spans="1:11" ht="12" customHeight="1">
      <c r="A140" s="1300"/>
      <c r="B140" s="1300"/>
      <c r="C140" s="1300"/>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9" workbookViewId="0">
      <selection activeCell="AP4" sqref="AP4:AU4"/>
    </sheetView>
  </sheetViews>
  <sheetFormatPr defaultColWidth="2.7109375" defaultRowHeight="15.75" customHeight="1"/>
  <cols>
    <col min="1" max="8" width="2.7109375" style="1186"/>
    <col min="9" max="9" width="7.7109375" style="1186" customWidth="1"/>
    <col min="10" max="13" width="2.7109375" style="1186"/>
    <col min="14" max="14" width="4.7109375" style="1186" customWidth="1"/>
    <col min="15" max="19" width="2.7109375" style="1186"/>
    <col min="20" max="20" width="3.7109375" style="1186" customWidth="1"/>
    <col min="21" max="37" width="2.7109375" style="1186"/>
    <col min="38" max="38" width="3" style="1186" customWidth="1"/>
    <col min="39" max="45" width="2.7109375" style="1186"/>
    <col min="46" max="46" width="4.7109375" style="1186" customWidth="1"/>
    <col min="47" max="64" width="2.7109375" style="1186"/>
    <col min="65" max="65" width="10.42578125" style="1186" hidden="1" customWidth="1"/>
    <col min="66" max="66" width="5.5703125" style="1255" bestFit="1" customWidth="1"/>
    <col min="67" max="68" width="5.5703125" style="1255" customWidth="1"/>
    <col min="69" max="69" width="8" style="1255" customWidth="1"/>
    <col min="70" max="70" width="6" style="1255" customWidth="1"/>
    <col min="71" max="71" width="6.140625" style="1255" customWidth="1"/>
    <col min="72" max="76" width="5.5703125" style="1255" customWidth="1"/>
    <col min="77" max="77" width="6.140625" style="1255" bestFit="1" customWidth="1"/>
    <col min="78" max="78" width="5.5703125" style="1186" bestFit="1" customWidth="1"/>
    <col min="79" max="16384" width="2.7109375" style="1186"/>
  </cols>
  <sheetData>
    <row r="1" spans="1:65" ht="15.75" customHeight="1">
      <c r="A1" s="2326" t="s">
        <v>2457</v>
      </c>
      <c r="B1" s="2327"/>
      <c r="C1" s="2327"/>
      <c r="D1" s="2327"/>
      <c r="E1" s="2327"/>
      <c r="F1" s="2327"/>
      <c r="G1" s="2327"/>
      <c r="H1" s="2327"/>
      <c r="I1" s="2327"/>
      <c r="J1" s="2327"/>
      <c r="K1" s="2327"/>
      <c r="L1" s="2327"/>
      <c r="M1" s="2327"/>
      <c r="N1" s="2327"/>
      <c r="O1" s="2327"/>
      <c r="P1" s="2327"/>
      <c r="Q1" s="2327"/>
      <c r="R1" s="2327"/>
      <c r="S1" s="2327"/>
      <c r="T1" s="2327"/>
      <c r="U1" s="2327"/>
      <c r="V1" s="2327"/>
      <c r="W1" s="2327"/>
      <c r="X1" s="2327"/>
      <c r="Y1" s="2327"/>
      <c r="Z1" s="2327"/>
      <c r="AA1" s="2327"/>
      <c r="AB1" s="2327"/>
      <c r="AC1" s="2327"/>
      <c r="AD1" s="2327"/>
      <c r="AE1" s="2327"/>
      <c r="AF1" s="2327"/>
      <c r="AG1" s="2327"/>
      <c r="AH1" s="2327"/>
      <c r="AI1" s="2327"/>
      <c r="AJ1" s="2327"/>
      <c r="AK1" s="2327"/>
      <c r="AL1" s="2327"/>
      <c r="AM1" s="2327"/>
      <c r="AN1" s="2327"/>
      <c r="AO1" s="2327"/>
      <c r="AP1" s="2327"/>
      <c r="AQ1" s="2327"/>
      <c r="AR1" s="2327"/>
      <c r="AS1" s="2327"/>
      <c r="AT1" s="2327"/>
      <c r="AU1" s="2327"/>
      <c r="AV1" s="2327"/>
      <c r="AW1" s="2327"/>
      <c r="AX1" s="2327"/>
      <c r="AY1" s="2327"/>
      <c r="AZ1" s="2327"/>
      <c r="BA1" s="2327"/>
      <c r="BB1" s="2327"/>
      <c r="BC1" s="2327"/>
      <c r="BD1" s="2327"/>
      <c r="BE1" s="2328"/>
    </row>
    <row r="2" spans="1:65" ht="15.75" customHeight="1">
      <c r="A2" s="2329" t="s">
        <v>2456</v>
      </c>
      <c r="B2" s="2330"/>
      <c r="C2" s="2330"/>
      <c r="D2" s="2330"/>
      <c r="E2" s="2330"/>
      <c r="F2" s="2330"/>
      <c r="G2" s="2330"/>
      <c r="H2" s="2330"/>
      <c r="I2" s="2330"/>
      <c r="J2" s="2330"/>
      <c r="K2" s="2330"/>
      <c r="L2" s="2330"/>
      <c r="M2" s="2330"/>
      <c r="N2" s="2330"/>
      <c r="O2" s="2330"/>
      <c r="P2" s="2330"/>
      <c r="Q2" s="2330"/>
      <c r="R2" s="2330"/>
      <c r="S2" s="2330"/>
      <c r="T2" s="2330"/>
      <c r="U2" s="2330"/>
      <c r="V2" s="2330"/>
      <c r="W2" s="2330"/>
      <c r="X2" s="2330"/>
      <c r="Y2" s="2330"/>
      <c r="Z2" s="2330"/>
      <c r="AA2" s="2330"/>
      <c r="AB2" s="2330"/>
      <c r="AC2" s="2330"/>
      <c r="AD2" s="2330"/>
      <c r="AE2" s="2330"/>
      <c r="AF2" s="2330"/>
      <c r="AG2" s="2330"/>
      <c r="AH2" s="2330"/>
      <c r="AI2" s="2330"/>
      <c r="AJ2" s="2330"/>
      <c r="AK2" s="2330"/>
      <c r="AL2" s="2330"/>
      <c r="AM2" s="2330"/>
      <c r="AN2" s="2330"/>
      <c r="AO2" s="2330"/>
      <c r="AP2" s="2330"/>
      <c r="AQ2" s="2330"/>
      <c r="AR2" s="2330"/>
      <c r="AS2" s="2330"/>
      <c r="AT2" s="2330"/>
      <c r="AU2" s="2330"/>
      <c r="AV2" s="2330"/>
      <c r="AW2" s="2330"/>
      <c r="AX2" s="2330"/>
      <c r="AY2" s="2330"/>
      <c r="AZ2" s="2330"/>
      <c r="BA2" s="2330"/>
      <c r="BB2" s="2330"/>
      <c r="BC2" s="2330"/>
      <c r="BD2" s="2330"/>
      <c r="BE2" s="2331"/>
      <c r="BF2" s="1187"/>
    </row>
    <row r="3" spans="1:65" ht="15.75" customHeight="1" thickBot="1">
      <c r="A3" s="1188"/>
      <c r="B3" s="1189"/>
      <c r="C3" s="1189"/>
      <c r="D3" s="1189"/>
      <c r="E3" s="1189"/>
      <c r="F3" s="1189"/>
      <c r="G3" s="1189"/>
      <c r="H3" s="1189"/>
      <c r="I3" s="1189"/>
      <c r="J3" s="1189"/>
      <c r="K3" s="1189"/>
      <c r="L3" s="1189"/>
      <c r="M3" s="1189"/>
      <c r="N3" s="1189"/>
      <c r="O3" s="1189"/>
      <c r="P3" s="1189"/>
      <c r="Q3" s="1189"/>
      <c r="R3" s="1189"/>
      <c r="S3" s="1189"/>
      <c r="T3" s="1189"/>
      <c r="U3" s="1189"/>
      <c r="V3" s="1189"/>
      <c r="W3" s="1189"/>
      <c r="X3" s="1189"/>
      <c r="Y3" s="1189"/>
      <c r="Z3" s="1189"/>
      <c r="AA3" s="1189"/>
      <c r="AB3" s="1189"/>
      <c r="AC3" s="1189"/>
      <c r="AD3" s="1189"/>
      <c r="AE3" s="1189"/>
      <c r="AF3" s="1189"/>
      <c r="AG3" s="1189"/>
      <c r="AH3" s="1189"/>
      <c r="AI3" s="1189"/>
      <c r="AJ3" s="1189"/>
      <c r="AK3" s="1189"/>
      <c r="AL3" s="1189"/>
      <c r="AM3" s="1189"/>
      <c r="AN3" s="1189"/>
      <c r="AO3" s="1189"/>
      <c r="AP3" s="1189"/>
      <c r="AQ3" s="1189"/>
      <c r="AR3" s="1189"/>
      <c r="AS3" s="1189"/>
      <c r="AT3" s="1189"/>
      <c r="AU3" s="1189"/>
      <c r="AV3" s="1189"/>
      <c r="AW3" s="1189"/>
      <c r="AX3" s="1189"/>
      <c r="AY3" s="1189"/>
      <c r="AZ3" s="1189"/>
      <c r="BA3" s="1189"/>
      <c r="BB3" s="1189"/>
      <c r="BC3" s="1189"/>
      <c r="BD3" s="1189"/>
      <c r="BE3" s="1190"/>
    </row>
    <row r="4" spans="1:65" ht="15.75" customHeight="1" thickBot="1">
      <c r="A4" s="1188"/>
      <c r="B4" s="1191" t="s">
        <v>656</v>
      </c>
      <c r="C4" s="1191"/>
      <c r="D4" s="1191"/>
      <c r="E4" s="1191"/>
      <c r="F4" s="1191"/>
      <c r="G4" s="1189"/>
      <c r="H4" s="1189"/>
      <c r="I4" s="1189"/>
      <c r="J4" s="1189"/>
      <c r="K4" s="1189"/>
      <c r="L4" s="2318" t="str">
        <f>IF(Application!H18="","",Application!H18)</f>
        <v xml:space="preserve">21010 Vanowen </v>
      </c>
      <c r="M4" s="2319"/>
      <c r="N4" s="2319"/>
      <c r="O4" s="2319"/>
      <c r="P4" s="2319"/>
      <c r="Q4" s="2319"/>
      <c r="R4" s="2319"/>
      <c r="S4" s="2319"/>
      <c r="T4" s="2319"/>
      <c r="U4" s="2319"/>
      <c r="V4" s="2319"/>
      <c r="W4" s="2319"/>
      <c r="X4" s="2319"/>
      <c r="Y4" s="2319"/>
      <c r="Z4" s="2319"/>
      <c r="AA4" s="2319"/>
      <c r="AB4" s="2319"/>
      <c r="AC4" s="2320"/>
      <c r="AD4" s="1189"/>
      <c r="AE4" s="1189"/>
      <c r="AF4" s="2314" t="s">
        <v>2455</v>
      </c>
      <c r="AG4" s="2314"/>
      <c r="AH4" s="2314"/>
      <c r="AI4" s="2314"/>
      <c r="AJ4" s="2314"/>
      <c r="AK4" s="2314"/>
      <c r="AL4" s="2314"/>
      <c r="AM4" s="2314"/>
      <c r="AN4" s="2314"/>
      <c r="AO4" s="2314"/>
      <c r="AP4" s="2315"/>
      <c r="AQ4" s="2316"/>
      <c r="AR4" s="2316"/>
      <c r="AS4" s="2316"/>
      <c r="AT4" s="2316"/>
      <c r="AU4" s="2316"/>
      <c r="AV4" s="1189"/>
      <c r="AW4" s="1189"/>
      <c r="AX4" s="1189"/>
      <c r="AY4" s="1189"/>
      <c r="AZ4" s="1189"/>
      <c r="BA4" s="1189"/>
      <c r="BB4" s="1189"/>
      <c r="BC4" s="1189"/>
      <c r="BD4" s="1189"/>
      <c r="BE4" s="1190"/>
    </row>
    <row r="5" spans="1:65" ht="15.75" customHeight="1" thickBot="1">
      <c r="A5" s="1188"/>
      <c r="B5" s="1189"/>
      <c r="C5" s="1189"/>
      <c r="D5" s="1189"/>
      <c r="E5" s="1189"/>
      <c r="F5" s="1189"/>
      <c r="G5" s="1189"/>
      <c r="H5" s="1189"/>
      <c r="I5" s="1189"/>
      <c r="J5" s="1189"/>
      <c r="K5" s="1189"/>
      <c r="L5" s="1189"/>
      <c r="M5" s="1189"/>
      <c r="N5" s="1189"/>
      <c r="O5" s="1189"/>
      <c r="P5" s="1189"/>
      <c r="Q5" s="1189"/>
      <c r="R5" s="1189"/>
      <c r="S5" s="1189"/>
      <c r="T5" s="1189"/>
      <c r="U5" s="1189"/>
      <c r="V5" s="1189"/>
      <c r="W5" s="1189"/>
      <c r="X5" s="1189"/>
      <c r="Y5" s="1189"/>
      <c r="Z5" s="1189"/>
      <c r="AA5" s="1189"/>
      <c r="AB5" s="1189"/>
      <c r="AC5" s="1189"/>
      <c r="AD5" s="1189"/>
      <c r="AE5" s="1189"/>
      <c r="AF5" s="2314" t="s">
        <v>2454</v>
      </c>
      <c r="AG5" s="2314"/>
      <c r="AH5" s="2314"/>
      <c r="AI5" s="2314"/>
      <c r="AJ5" s="2314"/>
      <c r="AK5" s="2314"/>
      <c r="AL5" s="2314"/>
      <c r="AM5" s="2314"/>
      <c r="AN5" s="2314"/>
      <c r="AO5" s="2314"/>
      <c r="AP5" s="2315"/>
      <c r="AQ5" s="2316"/>
      <c r="AR5" s="2316"/>
      <c r="AS5" s="2316"/>
      <c r="AT5" s="2316"/>
      <c r="AU5" s="2316"/>
      <c r="AV5" s="1189"/>
      <c r="AW5" s="1189"/>
      <c r="AX5" s="1189"/>
      <c r="AY5" s="1189"/>
      <c r="AZ5" s="1189"/>
      <c r="BA5" s="1189"/>
      <c r="BB5" s="1189"/>
      <c r="BC5" s="1189"/>
      <c r="BD5" s="1189"/>
      <c r="BE5" s="1190"/>
    </row>
    <row r="6" spans="1:65" ht="15.75" customHeight="1" thickBot="1">
      <c r="A6" s="1188"/>
      <c r="B6" s="1191" t="s">
        <v>2453</v>
      </c>
      <c r="C6" s="1189"/>
      <c r="D6" s="1189"/>
      <c r="E6" s="1189"/>
      <c r="F6" s="1189"/>
      <c r="G6" s="1189"/>
      <c r="H6" s="1189"/>
      <c r="I6" s="1189"/>
      <c r="J6" s="1189"/>
      <c r="K6" s="1189"/>
      <c r="L6" s="2318" t="str">
        <f>IF(Application!H16="","",Application!H16)</f>
        <v>21010 Vanowen, LP</v>
      </c>
      <c r="M6" s="2319"/>
      <c r="N6" s="2319"/>
      <c r="O6" s="2319"/>
      <c r="P6" s="2319"/>
      <c r="Q6" s="2319"/>
      <c r="R6" s="2319"/>
      <c r="S6" s="2319"/>
      <c r="T6" s="2319"/>
      <c r="U6" s="2319"/>
      <c r="V6" s="2319"/>
      <c r="W6" s="2319"/>
      <c r="X6" s="2319"/>
      <c r="Y6" s="2319"/>
      <c r="Z6" s="2319"/>
      <c r="AA6" s="2319"/>
      <c r="AB6" s="2319"/>
      <c r="AC6" s="2320"/>
      <c r="AD6" s="1189"/>
      <c r="AE6" s="1189"/>
      <c r="AF6" s="2321" t="s">
        <v>2452</v>
      </c>
      <c r="AG6" s="2321"/>
      <c r="AH6" s="2321"/>
      <c r="AI6" s="2321"/>
      <c r="AJ6" s="2321"/>
      <c r="AK6" s="2321"/>
      <c r="AL6" s="2321"/>
      <c r="AM6" s="2321"/>
      <c r="AN6" s="2321"/>
      <c r="AO6" s="2321"/>
      <c r="AP6" s="2322"/>
      <c r="AQ6" s="2322"/>
      <c r="AR6" s="2322"/>
      <c r="AS6" s="2322"/>
      <c r="AT6" s="2322"/>
      <c r="AU6" s="2322"/>
      <c r="AV6" s="1189"/>
      <c r="AW6" s="1189"/>
      <c r="AX6" s="1189"/>
      <c r="AY6" s="1189"/>
      <c r="AZ6" s="1189"/>
      <c r="BA6" s="1189"/>
      <c r="BB6" s="1189"/>
      <c r="BC6" s="1189"/>
      <c r="BD6" s="1189"/>
      <c r="BE6" s="1190"/>
    </row>
    <row r="7" spans="1:65" thickBot="1">
      <c r="A7" s="1188"/>
      <c r="B7" s="1189"/>
      <c r="C7" s="1189"/>
      <c r="D7" s="1189"/>
      <c r="E7" s="1189"/>
      <c r="F7" s="1189"/>
      <c r="G7" s="1189"/>
      <c r="H7" s="1189"/>
      <c r="I7" s="1189"/>
      <c r="J7" s="1189"/>
      <c r="K7" s="1189"/>
      <c r="L7" s="1189"/>
      <c r="M7" s="1189"/>
      <c r="N7" s="1189"/>
      <c r="O7" s="1189"/>
      <c r="P7" s="1189"/>
      <c r="Q7" s="1189"/>
      <c r="R7" s="1189"/>
      <c r="S7" s="1189"/>
      <c r="T7" s="1189"/>
      <c r="U7" s="1189"/>
      <c r="V7" s="1189"/>
      <c r="W7" s="1189"/>
      <c r="X7" s="1189"/>
      <c r="Y7" s="1189"/>
      <c r="Z7" s="1189"/>
      <c r="AA7" s="1189"/>
      <c r="AB7" s="1189"/>
      <c r="AC7" s="1189"/>
      <c r="AD7" s="1189"/>
      <c r="AE7" s="1189"/>
      <c r="AF7" s="2321" t="s">
        <v>2451</v>
      </c>
      <c r="AG7" s="2321"/>
      <c r="AH7" s="2321"/>
      <c r="AI7" s="2321"/>
      <c r="AJ7" s="2321"/>
      <c r="AK7" s="2321"/>
      <c r="AL7" s="2321"/>
      <c r="AM7" s="2321"/>
      <c r="AN7" s="2321"/>
      <c r="AO7" s="2321"/>
      <c r="AP7" s="2322"/>
      <c r="AQ7" s="2322"/>
      <c r="AR7" s="2322"/>
      <c r="AS7" s="2322"/>
      <c r="AT7" s="2322"/>
      <c r="AU7" s="2322"/>
      <c r="AV7" s="1189"/>
      <c r="AW7" s="1189"/>
      <c r="AX7" s="1189"/>
      <c r="AY7" s="1189"/>
      <c r="AZ7" s="1189"/>
      <c r="BA7" s="1189"/>
      <c r="BB7" s="1189"/>
      <c r="BC7" s="1189"/>
      <c r="BD7" s="1189"/>
      <c r="BE7" s="1190"/>
    </row>
    <row r="8" spans="1:65" thickBot="1">
      <c r="A8" s="1188"/>
      <c r="B8" s="1191" t="s">
        <v>2450</v>
      </c>
      <c r="C8" s="1189"/>
      <c r="D8" s="1189"/>
      <c r="E8" s="1189"/>
      <c r="F8" s="1189"/>
      <c r="G8" s="1189"/>
      <c r="H8" s="1189"/>
      <c r="I8" s="1189"/>
      <c r="J8" s="1189"/>
      <c r="K8" s="1189"/>
      <c r="L8" s="1189"/>
      <c r="M8" s="1189"/>
      <c r="N8" s="1189"/>
      <c r="O8" s="1189"/>
      <c r="P8" s="1189"/>
      <c r="Q8" s="1189"/>
      <c r="R8" s="1189"/>
      <c r="S8" s="1189"/>
      <c r="T8" s="1189"/>
      <c r="U8" s="1189"/>
      <c r="V8" s="1189"/>
      <c r="W8" s="1189"/>
      <c r="X8" s="1189"/>
      <c r="Y8" s="1189"/>
      <c r="Z8" s="1189"/>
      <c r="AA8" s="1189"/>
      <c r="AB8" s="2323" t="str">
        <f>Application!T197</f>
        <v>No</v>
      </c>
      <c r="AC8" s="2324"/>
      <c r="AD8" s="2325"/>
      <c r="AE8" s="1189"/>
      <c r="AF8" s="2321" t="s">
        <v>2449</v>
      </c>
      <c r="AG8" s="2321"/>
      <c r="AH8" s="2321"/>
      <c r="AI8" s="2321"/>
      <c r="AJ8" s="2321"/>
      <c r="AK8" s="2321"/>
      <c r="AL8" s="2321"/>
      <c r="AM8" s="2321"/>
      <c r="AN8" s="2321"/>
      <c r="AO8" s="2321"/>
      <c r="AP8" s="2322" t="s">
        <v>2098</v>
      </c>
      <c r="AQ8" s="2322"/>
      <c r="AR8" s="2322"/>
      <c r="AS8" s="2322"/>
      <c r="AT8" s="2322"/>
      <c r="AU8" s="2322"/>
      <c r="AV8" s="1189"/>
      <c r="AW8" s="1189"/>
      <c r="AX8" s="1189"/>
      <c r="AY8" s="1189"/>
      <c r="AZ8" s="1189"/>
      <c r="BA8" s="1189"/>
      <c r="BB8" s="1189"/>
      <c r="BC8" s="1189"/>
      <c r="BD8" s="1189"/>
      <c r="BE8" s="1190"/>
      <c r="BM8" s="1186" t="s">
        <v>1983</v>
      </c>
    </row>
    <row r="9" spans="1:65" ht="15">
      <c r="A9" s="1189"/>
      <c r="B9" s="1189"/>
      <c r="C9" s="1189"/>
      <c r="D9" s="1189"/>
      <c r="E9" s="1189"/>
      <c r="F9" s="1189"/>
      <c r="G9" s="1189"/>
      <c r="H9" s="1189"/>
      <c r="I9" s="1189"/>
      <c r="J9" s="1189"/>
      <c r="K9" s="1189"/>
      <c r="L9" s="1189"/>
      <c r="M9" s="1189"/>
      <c r="N9" s="1189"/>
      <c r="O9" s="1189"/>
      <c r="P9" s="1189"/>
      <c r="Q9" s="1189"/>
      <c r="R9" s="1189"/>
      <c r="S9" s="1189"/>
      <c r="T9" s="1189"/>
      <c r="U9" s="1189"/>
      <c r="V9" s="1189"/>
      <c r="W9" s="1189"/>
      <c r="X9" s="1189"/>
      <c r="Y9" s="1189"/>
      <c r="Z9" s="1189"/>
      <c r="AA9" s="1189"/>
      <c r="AB9" s="1189"/>
      <c r="AC9" s="1189"/>
      <c r="AD9" s="1189"/>
      <c r="AE9" s="1189"/>
      <c r="AF9" s="2314" t="s">
        <v>2448</v>
      </c>
      <c r="AG9" s="2314"/>
      <c r="AH9" s="2314"/>
      <c r="AI9" s="2314"/>
      <c r="AJ9" s="2314"/>
      <c r="AK9" s="2314"/>
      <c r="AL9" s="2314"/>
      <c r="AM9" s="2314"/>
      <c r="AN9" s="2314"/>
      <c r="AO9" s="2314"/>
      <c r="AP9" s="2315"/>
      <c r="AQ9" s="2316"/>
      <c r="AR9" s="2316"/>
      <c r="AS9" s="2316"/>
      <c r="AT9" s="2316"/>
      <c r="AU9" s="2316"/>
      <c r="AV9" s="1189"/>
      <c r="AW9" s="1189"/>
      <c r="AX9" s="1189"/>
      <c r="AY9" s="1189"/>
      <c r="AZ9" s="1189"/>
      <c r="BA9" s="1189"/>
      <c r="BB9" s="1189"/>
      <c r="BC9" s="1189"/>
      <c r="BD9" s="1189"/>
      <c r="BE9" s="1190"/>
      <c r="BM9" s="1186" t="s">
        <v>2447</v>
      </c>
    </row>
    <row r="10" spans="1:65" ht="15">
      <c r="A10" s="1188"/>
      <c r="B10" s="1191" t="s">
        <v>2446</v>
      </c>
      <c r="C10" s="1191"/>
      <c r="D10" s="1191"/>
      <c r="E10" s="1191"/>
      <c r="F10" s="1191"/>
      <c r="G10" s="1191"/>
      <c r="H10" s="1191"/>
      <c r="I10" s="1191"/>
      <c r="J10" s="1191"/>
      <c r="K10" s="1191"/>
      <c r="L10" s="1191"/>
      <c r="M10" s="1189"/>
      <c r="N10" s="2317">
        <f>Application!AO627</f>
        <v>63944289</v>
      </c>
      <c r="O10" s="2317"/>
      <c r="P10" s="2317"/>
      <c r="Q10" s="2317"/>
      <c r="R10" s="2317"/>
      <c r="S10" s="2317"/>
      <c r="T10" s="2317"/>
      <c r="U10" s="1189"/>
      <c r="V10" s="1189"/>
      <c r="W10" s="1189"/>
      <c r="X10" s="1192"/>
      <c r="Y10" s="1192"/>
      <c r="Z10" s="1192"/>
      <c r="AA10" s="1192"/>
      <c r="AB10" s="1192"/>
      <c r="AC10" s="1192"/>
      <c r="AD10" s="1192"/>
      <c r="AE10" s="1192"/>
      <c r="AF10" s="2314" t="s">
        <v>2445</v>
      </c>
      <c r="AG10" s="2314"/>
      <c r="AH10" s="2314"/>
      <c r="AI10" s="2314"/>
      <c r="AJ10" s="2314"/>
      <c r="AK10" s="2314"/>
      <c r="AL10" s="2314"/>
      <c r="AM10" s="2314"/>
      <c r="AN10" s="2314"/>
      <c r="AO10" s="2314"/>
      <c r="AP10" s="2315"/>
      <c r="AQ10" s="2316"/>
      <c r="AR10" s="2316"/>
      <c r="AS10" s="2316"/>
      <c r="AT10" s="2316"/>
      <c r="AU10" s="2316"/>
      <c r="AV10" s="1192"/>
      <c r="AW10" s="1192"/>
      <c r="AX10" s="1189"/>
      <c r="AY10" s="1189"/>
      <c r="AZ10" s="1189"/>
      <c r="BA10" s="1189"/>
      <c r="BB10" s="1189"/>
      <c r="BC10" s="1189"/>
      <c r="BD10" s="1189"/>
      <c r="BE10" s="1190"/>
      <c r="BM10" s="1186" t="s">
        <v>2444</v>
      </c>
    </row>
    <row r="11" spans="1:65" ht="15">
      <c r="A11" s="1188"/>
      <c r="B11" s="1191" t="s">
        <v>2443</v>
      </c>
      <c r="C11" s="1191"/>
      <c r="D11" s="1191"/>
      <c r="E11" s="1191"/>
      <c r="F11" s="1191"/>
      <c r="G11" s="1191"/>
      <c r="H11" s="1191"/>
      <c r="I11" s="1191"/>
      <c r="J11" s="1191"/>
      <c r="K11" s="1191"/>
      <c r="L11" s="1191"/>
      <c r="M11" s="1189"/>
      <c r="N11" s="2317">
        <f>Application!AA934</f>
        <v>0</v>
      </c>
      <c r="O11" s="2317"/>
      <c r="P11" s="2317"/>
      <c r="Q11" s="2317"/>
      <c r="R11" s="2317"/>
      <c r="S11" s="2317"/>
      <c r="T11" s="2317"/>
      <c r="U11" s="1189"/>
      <c r="V11" s="1189"/>
      <c r="W11" s="1189"/>
      <c r="X11" s="1192"/>
      <c r="Y11" s="1192"/>
      <c r="Z11" s="1192"/>
      <c r="AA11" s="1192"/>
      <c r="AB11" s="1192"/>
      <c r="AC11" s="1192"/>
      <c r="AD11" s="1192"/>
      <c r="AE11" s="1192"/>
      <c r="AF11" s="2314" t="s">
        <v>2442</v>
      </c>
      <c r="AG11" s="2314"/>
      <c r="AH11" s="2314"/>
      <c r="AI11" s="2314"/>
      <c r="AJ11" s="2314"/>
      <c r="AK11" s="2314"/>
      <c r="AL11" s="2314"/>
      <c r="AM11" s="2314"/>
      <c r="AN11" s="2314"/>
      <c r="AO11" s="2314"/>
      <c r="AP11" s="2315"/>
      <c r="AQ11" s="2316"/>
      <c r="AR11" s="2316"/>
      <c r="AS11" s="2316"/>
      <c r="AT11" s="2316"/>
      <c r="AU11" s="2316"/>
      <c r="AV11" s="1192"/>
      <c r="AW11" s="1192"/>
      <c r="AX11" s="1189"/>
      <c r="AY11" s="1189"/>
      <c r="AZ11" s="1189"/>
      <c r="BA11" s="1189"/>
      <c r="BB11" s="1189"/>
      <c r="BC11" s="1189"/>
      <c r="BD11" s="1189"/>
      <c r="BE11" s="1190"/>
      <c r="BM11" s="1186" t="s">
        <v>2098</v>
      </c>
    </row>
    <row r="12" spans="1:65" thickBot="1">
      <c r="A12" s="1189"/>
      <c r="B12" s="1189"/>
      <c r="C12" s="1189"/>
      <c r="D12" s="1189"/>
      <c r="E12" s="1189"/>
      <c r="F12" s="1189"/>
      <c r="G12" s="1189"/>
      <c r="H12" s="1189"/>
      <c r="I12" s="1189"/>
      <c r="J12" s="1189"/>
      <c r="K12" s="1189"/>
      <c r="L12" s="1189"/>
      <c r="M12" s="1189"/>
      <c r="N12" s="1189"/>
      <c r="O12" s="1189"/>
      <c r="P12" s="1189"/>
      <c r="Q12" s="1189"/>
      <c r="R12" s="1189"/>
      <c r="S12" s="1189"/>
      <c r="T12" s="1189"/>
      <c r="U12" s="1189"/>
      <c r="V12" s="1189"/>
      <c r="W12" s="1189"/>
      <c r="X12" s="1192"/>
      <c r="Y12" s="1192"/>
      <c r="Z12" s="1192"/>
      <c r="AA12" s="1192"/>
      <c r="AB12" s="1192"/>
      <c r="AC12" s="1192"/>
      <c r="AD12" s="1192"/>
      <c r="AE12" s="1192"/>
      <c r="AF12" s="1192"/>
      <c r="AG12" s="1192"/>
      <c r="AH12" s="1192"/>
      <c r="AI12" s="1192"/>
      <c r="AJ12" s="1192"/>
      <c r="AK12" s="1192"/>
      <c r="AL12" s="1192"/>
      <c r="AM12" s="1192"/>
      <c r="AN12" s="1192"/>
      <c r="AO12" s="1192"/>
      <c r="AP12" s="1192"/>
      <c r="AQ12" s="1192"/>
      <c r="AR12" s="1192"/>
      <c r="AS12" s="1192"/>
      <c r="AT12" s="1192"/>
      <c r="AU12" s="1192"/>
      <c r="AV12" s="1189"/>
      <c r="AW12" s="1189"/>
      <c r="AX12" s="1189"/>
      <c r="AY12" s="1189"/>
      <c r="AZ12" s="1189"/>
      <c r="BA12" s="1189"/>
      <c r="BB12" s="1189"/>
      <c r="BC12" s="1189"/>
      <c r="BD12" s="1189"/>
      <c r="BE12" s="1193"/>
      <c r="BM12" s="1186" t="s">
        <v>2441</v>
      </c>
    </row>
    <row r="13" spans="1:65" thickBot="1">
      <c r="A13" s="1189"/>
      <c r="B13" s="2305" t="s">
        <v>2440</v>
      </c>
      <c r="C13" s="2306"/>
      <c r="D13" s="2306"/>
      <c r="E13" s="2306"/>
      <c r="F13" s="2306"/>
      <c r="G13" s="2306"/>
      <c r="H13" s="2306"/>
      <c r="I13" s="2306"/>
      <c r="J13" s="2306"/>
      <c r="K13" s="2306"/>
      <c r="L13" s="2306"/>
      <c r="M13" s="2306"/>
      <c r="N13" s="2306"/>
      <c r="O13" s="2306"/>
      <c r="P13" s="2307"/>
      <c r="Q13" s="2308" t="s">
        <v>669</v>
      </c>
      <c r="R13" s="2309"/>
      <c r="S13" s="2309"/>
      <c r="T13" s="2310"/>
      <c r="U13" s="1192"/>
      <c r="V13" s="1189"/>
      <c r="W13" s="1189"/>
      <c r="X13" s="1189"/>
      <c r="Y13" s="1189"/>
      <c r="Z13" s="1189"/>
      <c r="AA13" s="2295" t="s">
        <v>2439</v>
      </c>
      <c r="AB13" s="2295"/>
      <c r="AC13" s="2295"/>
      <c r="AD13" s="2295"/>
      <c r="AE13" s="2295"/>
      <c r="AF13" s="2295"/>
      <c r="AG13" s="2295"/>
      <c r="AH13" s="2295"/>
      <c r="AI13" s="2295"/>
      <c r="AJ13" s="2295"/>
      <c r="AK13" s="2295"/>
      <c r="AL13" s="2295"/>
      <c r="AM13" s="2295"/>
      <c r="AN13" s="2295"/>
      <c r="AO13" s="2311">
        <f>Application!W473</f>
        <v>60</v>
      </c>
      <c r="AP13" s="2312"/>
      <c r="AQ13" s="2312"/>
      <c r="AR13" s="2312"/>
      <c r="AS13" s="2312"/>
      <c r="AT13" s="1192"/>
      <c r="AU13" s="1192"/>
      <c r="AV13" s="1192"/>
      <c r="AW13" s="1192"/>
      <c r="AX13" s="1192"/>
      <c r="AY13" s="1192"/>
      <c r="AZ13" s="1192"/>
      <c r="BA13" s="1192"/>
      <c r="BB13" s="1192"/>
      <c r="BC13" s="1192"/>
      <c r="BD13" s="1192"/>
      <c r="BE13" s="1193"/>
      <c r="BM13" s="1186" t="s">
        <v>2438</v>
      </c>
    </row>
    <row r="14" spans="1:65" thickBot="1">
      <c r="A14" s="1189"/>
      <c r="B14" s="1189"/>
      <c r="C14" s="1189"/>
      <c r="D14" s="1189"/>
      <c r="E14" s="1189"/>
      <c r="F14" s="1189"/>
      <c r="G14" s="1189"/>
      <c r="H14" s="1189"/>
      <c r="I14" s="1189"/>
      <c r="J14" s="1189"/>
      <c r="K14" s="1189"/>
      <c r="L14" s="1189"/>
      <c r="M14" s="1189"/>
      <c r="N14" s="1189"/>
      <c r="O14" s="1189"/>
      <c r="P14" s="1189"/>
      <c r="Q14" s="1189"/>
      <c r="R14" s="1189"/>
      <c r="S14" s="1189"/>
      <c r="T14" s="1189"/>
      <c r="U14" s="1189"/>
      <c r="V14" s="1189"/>
      <c r="W14" s="1189"/>
      <c r="X14" s="1189"/>
      <c r="Y14" s="1189"/>
      <c r="Z14" s="1189"/>
      <c r="AA14" s="2313" t="s">
        <v>2437</v>
      </c>
      <c r="AB14" s="2313"/>
      <c r="AC14" s="2313"/>
      <c r="AD14" s="2313"/>
      <c r="AE14" s="2313"/>
      <c r="AF14" s="2313"/>
      <c r="AG14" s="2313"/>
      <c r="AH14" s="2313"/>
      <c r="AI14" s="2313"/>
      <c r="AJ14" s="2313"/>
      <c r="AK14" s="2313"/>
      <c r="AL14" s="2313"/>
      <c r="AM14" s="2313"/>
      <c r="AN14" s="2313"/>
      <c r="AO14" s="2296"/>
      <c r="AP14" s="2297"/>
      <c r="AQ14" s="2297"/>
      <c r="AR14" s="2297"/>
      <c r="AS14" s="2297"/>
      <c r="AT14" s="1192"/>
      <c r="AU14" s="1192"/>
      <c r="AV14" s="1192"/>
      <c r="AW14" s="1192"/>
      <c r="AX14" s="1192"/>
      <c r="AY14" s="1192"/>
      <c r="AZ14" s="1192"/>
      <c r="BA14" s="1192"/>
      <c r="BB14" s="1192"/>
      <c r="BC14" s="1192"/>
      <c r="BD14" s="1192"/>
      <c r="BE14" s="1193"/>
    </row>
    <row r="15" spans="1:65" thickBot="1">
      <c r="A15" s="1189"/>
      <c r="B15" s="2290" t="s">
        <v>2436</v>
      </c>
      <c r="C15" s="2291"/>
      <c r="D15" s="2291"/>
      <c r="E15" s="2291"/>
      <c r="F15" s="2291"/>
      <c r="G15" s="2291"/>
      <c r="H15" s="2291"/>
      <c r="I15" s="2291"/>
      <c r="J15" s="2291"/>
      <c r="K15" s="2291"/>
      <c r="L15" s="2291"/>
      <c r="M15" s="2291"/>
      <c r="N15" s="2291"/>
      <c r="O15" s="2291"/>
      <c r="P15" s="2291"/>
      <c r="Q15" s="2291"/>
      <c r="R15" s="2292"/>
      <c r="S15" s="2293" t="str">
        <f>IF(Application!AB214="","",Application!AB214)</f>
        <v/>
      </c>
      <c r="T15" s="2293"/>
      <c r="U15" s="2293"/>
      <c r="V15" s="2293"/>
      <c r="W15" s="2294"/>
      <c r="X15" s="1192"/>
      <c r="Y15" s="1189"/>
      <c r="Z15" s="1189"/>
      <c r="AA15" s="2295" t="s">
        <v>2435</v>
      </c>
      <c r="AB15" s="2295"/>
      <c r="AC15" s="2295"/>
      <c r="AD15" s="2295"/>
      <c r="AE15" s="2295"/>
      <c r="AF15" s="2295"/>
      <c r="AG15" s="2295"/>
      <c r="AH15" s="2295"/>
      <c r="AI15" s="2295"/>
      <c r="AJ15" s="2295"/>
      <c r="AK15" s="2295"/>
      <c r="AL15" s="2295"/>
      <c r="AM15" s="2295"/>
      <c r="AN15" s="2295"/>
      <c r="AO15" s="2296"/>
      <c r="AP15" s="2297"/>
      <c r="AQ15" s="2297"/>
      <c r="AR15" s="2297"/>
      <c r="AS15" s="2297"/>
      <c r="AT15" s="1192"/>
      <c r="AU15" s="1192"/>
      <c r="AV15" s="1192"/>
      <c r="AW15" s="1192"/>
      <c r="AX15" s="1192"/>
      <c r="AY15" s="1192"/>
      <c r="AZ15" s="1192"/>
      <c r="BA15" s="1192"/>
      <c r="BB15" s="1192"/>
      <c r="BC15" s="1192"/>
      <c r="BD15" s="1192"/>
      <c r="BE15" s="1193"/>
    </row>
    <row r="16" spans="1:65" thickBot="1">
      <c r="A16" s="1188"/>
      <c r="B16" s="1189"/>
      <c r="C16" s="1189"/>
      <c r="D16" s="1189"/>
      <c r="E16" s="1189"/>
      <c r="F16" s="1189"/>
      <c r="G16" s="1189"/>
      <c r="H16" s="1189"/>
      <c r="I16" s="1189"/>
      <c r="J16" s="1189"/>
      <c r="K16" s="1189"/>
      <c r="L16" s="1189"/>
      <c r="M16" s="1189"/>
      <c r="N16" s="1189"/>
      <c r="O16" s="1189"/>
      <c r="P16" s="1189"/>
      <c r="Q16" s="1189"/>
      <c r="R16" s="1189"/>
      <c r="S16" s="1189"/>
      <c r="T16" s="1189"/>
      <c r="U16" s="1189"/>
      <c r="V16" s="1189"/>
      <c r="W16" s="1189"/>
      <c r="X16" s="1189"/>
      <c r="Y16" s="1189"/>
      <c r="Z16" s="1189"/>
      <c r="AA16" s="1189"/>
      <c r="AB16" s="1189"/>
      <c r="AC16" s="1189"/>
      <c r="AD16" s="1189"/>
      <c r="AE16" s="1189"/>
      <c r="AF16" s="1189"/>
      <c r="AG16" s="1189"/>
      <c r="AH16" s="1189"/>
      <c r="AI16" s="1189"/>
      <c r="AJ16" s="1189"/>
      <c r="AK16" s="1189"/>
      <c r="AL16" s="1189"/>
      <c r="AM16" s="1189"/>
      <c r="AN16" s="1189"/>
      <c r="AO16" s="1189"/>
      <c r="AP16" s="1189"/>
      <c r="AQ16" s="1189"/>
      <c r="AR16" s="1189"/>
      <c r="AS16" s="1189"/>
      <c r="AT16" s="1189"/>
      <c r="AU16" s="1189"/>
      <c r="AV16" s="1189"/>
      <c r="AW16" s="1189"/>
      <c r="AX16" s="1189"/>
      <c r="AY16" s="1189"/>
      <c r="AZ16" s="1189"/>
      <c r="BA16" s="1189"/>
      <c r="BB16" s="1189"/>
      <c r="BC16" s="1189"/>
      <c r="BD16" s="1189"/>
      <c r="BE16" s="1193"/>
    </row>
    <row r="17" spans="1:58" ht="15">
      <c r="A17" s="1189"/>
      <c r="B17" s="2103" t="s">
        <v>2434</v>
      </c>
      <c r="C17" s="2104"/>
      <c r="D17" s="2104"/>
      <c r="E17" s="2104"/>
      <c r="F17" s="2104"/>
      <c r="G17" s="2104"/>
      <c r="H17" s="2104"/>
      <c r="I17" s="2104"/>
      <c r="J17" s="2104"/>
      <c r="K17" s="2104"/>
      <c r="L17" s="2104"/>
      <c r="M17" s="2104"/>
      <c r="N17" s="2104"/>
      <c r="O17" s="2104"/>
      <c r="P17" s="2104"/>
      <c r="Q17" s="2104"/>
      <c r="R17" s="2104"/>
      <c r="S17" s="2104"/>
      <c r="T17" s="2104"/>
      <c r="U17" s="2104"/>
      <c r="V17" s="2104"/>
      <c r="W17" s="2104"/>
      <c r="X17" s="2104"/>
      <c r="Y17" s="2104"/>
      <c r="Z17" s="2104"/>
      <c r="AA17" s="2104"/>
      <c r="AB17" s="2104"/>
      <c r="AC17" s="2104"/>
      <c r="AD17" s="2104"/>
      <c r="AE17" s="2104"/>
      <c r="AF17" s="2104"/>
      <c r="AG17" s="2104"/>
      <c r="AH17" s="2104"/>
      <c r="AI17" s="2104"/>
      <c r="AJ17" s="2104"/>
      <c r="AK17" s="2104"/>
      <c r="AL17" s="2104"/>
      <c r="AM17" s="2104"/>
      <c r="AN17" s="2104"/>
      <c r="AO17" s="2104"/>
      <c r="AP17" s="2104"/>
      <c r="AQ17" s="2104"/>
      <c r="AR17" s="2104"/>
      <c r="AS17" s="2104"/>
      <c r="AT17" s="2104"/>
      <c r="AU17" s="2104"/>
      <c r="AV17" s="2104"/>
      <c r="AW17" s="2104"/>
      <c r="AX17" s="2104"/>
      <c r="AY17" s="2105"/>
      <c r="AZ17" s="1189"/>
      <c r="BA17" s="1189"/>
      <c r="BB17" s="1189"/>
      <c r="BC17" s="1189"/>
      <c r="BD17" s="1189"/>
      <c r="BE17" s="1193"/>
      <c r="BF17" s="1187"/>
    </row>
    <row r="18" spans="1:58" ht="15.75" customHeight="1">
      <c r="A18" s="1189"/>
      <c r="B18" s="2298" t="s">
        <v>2433</v>
      </c>
      <c r="C18" s="2299"/>
      <c r="D18" s="2299"/>
      <c r="E18" s="2299"/>
      <c r="F18" s="2299"/>
      <c r="G18" s="2299"/>
      <c r="H18" s="2299"/>
      <c r="I18" s="2300"/>
      <c r="J18" s="2301" t="s">
        <v>1585</v>
      </c>
      <c r="K18" s="2302"/>
      <c r="L18" s="2302"/>
      <c r="M18" s="2302"/>
      <c r="N18" s="2302"/>
      <c r="O18" s="2303"/>
      <c r="P18" s="2301" t="s">
        <v>324</v>
      </c>
      <c r="Q18" s="2302"/>
      <c r="R18" s="2302"/>
      <c r="S18" s="2302"/>
      <c r="T18" s="2302"/>
      <c r="U18" s="2303"/>
      <c r="V18" s="2301" t="s">
        <v>325</v>
      </c>
      <c r="W18" s="2302"/>
      <c r="X18" s="2302"/>
      <c r="Y18" s="2302"/>
      <c r="Z18" s="2302"/>
      <c r="AA18" s="2303"/>
      <c r="AB18" s="2301" t="s">
        <v>163</v>
      </c>
      <c r="AC18" s="2302"/>
      <c r="AD18" s="2302"/>
      <c r="AE18" s="2302"/>
      <c r="AF18" s="2302"/>
      <c r="AG18" s="2303"/>
      <c r="AH18" s="2301" t="s">
        <v>164</v>
      </c>
      <c r="AI18" s="2302"/>
      <c r="AJ18" s="2302"/>
      <c r="AK18" s="2302"/>
      <c r="AL18" s="2302"/>
      <c r="AM18" s="2303"/>
      <c r="AN18" s="2301" t="s">
        <v>165</v>
      </c>
      <c r="AO18" s="2302"/>
      <c r="AP18" s="2302"/>
      <c r="AQ18" s="2302"/>
      <c r="AR18" s="2302"/>
      <c r="AS18" s="2303"/>
      <c r="AT18" s="2301" t="s">
        <v>2432</v>
      </c>
      <c r="AU18" s="2302"/>
      <c r="AV18" s="2302"/>
      <c r="AW18" s="2302"/>
      <c r="AX18" s="2302"/>
      <c r="AY18" s="2304"/>
      <c r="AZ18" s="1189"/>
      <c r="BA18" s="1189"/>
      <c r="BB18" s="1189"/>
      <c r="BC18" s="1189"/>
      <c r="BD18" s="1189"/>
      <c r="BE18" s="1193"/>
    </row>
    <row r="19" spans="1:58" ht="15">
      <c r="A19" s="1189"/>
      <c r="B19" s="2284">
        <v>0.3</v>
      </c>
      <c r="C19" s="2285"/>
      <c r="D19" s="2285"/>
      <c r="E19" s="2285"/>
      <c r="F19" s="2285"/>
      <c r="G19" s="2285"/>
      <c r="H19" s="2285"/>
      <c r="I19" s="2286"/>
      <c r="J19" s="2287">
        <f t="shared" ref="J19:J24" si="0">SUM(P19:AS19)</f>
        <v>43</v>
      </c>
      <c r="K19" s="2288"/>
      <c r="L19" s="2288"/>
      <c r="M19" s="2288"/>
      <c r="N19" s="2288"/>
      <c r="O19" s="2289"/>
      <c r="P19" s="2287" cm="1">
        <f t="array" ref="P19">SUMPRODUCT((Application!$B$718:$B$752 = 'CalHFA Addendum'!P$18)*(Application!$AC$718:$AC$752 = 'CalHFA Addendum'!$B19),Application!$G$718:$G$752)</f>
        <v>0</v>
      </c>
      <c r="Q19" s="2288"/>
      <c r="R19" s="2288"/>
      <c r="S19" s="2288"/>
      <c r="T19" s="2288"/>
      <c r="U19" s="2289"/>
      <c r="V19" s="2287" cm="1">
        <f t="array" ref="V19">SUMPRODUCT((Application!$B$714:$B$738 = 'CalHFA Addendum'!V$18)*(Application!$AC$714:$AC$738 = 'CalHFA Addendum'!$B19),Application!$G$714:$G$738)</f>
        <v>43</v>
      </c>
      <c r="W19" s="2288"/>
      <c r="X19" s="2288"/>
      <c r="Y19" s="2288"/>
      <c r="Z19" s="2288"/>
      <c r="AA19" s="2289"/>
      <c r="AB19" s="2287" cm="1">
        <f t="array" ref="AB19">SUMPRODUCT((Application!$B$714:$B$738 = 'CalHFA Addendum'!AB$18)*(Application!$AC$714:$AC$738 = 'CalHFA Addendum'!$B19),Application!$G$714:$G$738)</f>
        <v>0</v>
      </c>
      <c r="AC19" s="2288"/>
      <c r="AD19" s="2288"/>
      <c r="AE19" s="2288"/>
      <c r="AF19" s="2288"/>
      <c r="AG19" s="2289"/>
      <c r="AH19" s="2287" cm="1">
        <f t="array" ref="AH19">SUMPRODUCT((Application!$B$714:$B$738 = 'CalHFA Addendum'!AH$18)*(Application!$AC$714:$AC$738 = 'CalHFA Addendum'!$B19),Application!$G$714:$G$738)</f>
        <v>0</v>
      </c>
      <c r="AI19" s="2288"/>
      <c r="AJ19" s="2288"/>
      <c r="AK19" s="2288"/>
      <c r="AL19" s="2288"/>
      <c r="AM19" s="2289"/>
      <c r="AN19" s="2287" cm="1">
        <f t="array" ref="AN19">SUMPRODUCT((Application!$B$714:$B$738 = 'CalHFA Addendum'!AN$18)*(Application!$AC$714:$AC$738 = 'CalHFA Addendum'!$B19),Application!$G$714:$G$738)</f>
        <v>0</v>
      </c>
      <c r="AO19" s="2288"/>
      <c r="AP19" s="2288"/>
      <c r="AQ19" s="2288"/>
      <c r="AR19" s="2288"/>
      <c r="AS19" s="2289"/>
      <c r="AT19" s="2272">
        <f t="shared" ref="AT19:AT29" si="1">J19/$J$29</f>
        <v>0.10886075949367088</v>
      </c>
      <c r="AU19" s="2273"/>
      <c r="AV19" s="2273"/>
      <c r="AW19" s="2273"/>
      <c r="AX19" s="2273"/>
      <c r="AY19" s="2274"/>
      <c r="AZ19" s="1194"/>
      <c r="BA19" s="1189"/>
      <c r="BB19" s="1189"/>
      <c r="BC19" s="1189"/>
      <c r="BD19" s="1189"/>
      <c r="BE19" s="1193"/>
    </row>
    <row r="20" spans="1:58" ht="15" customHeight="1">
      <c r="A20" s="1189"/>
      <c r="B20" s="2284">
        <v>0.4</v>
      </c>
      <c r="C20" s="2285"/>
      <c r="D20" s="2285"/>
      <c r="E20" s="2285"/>
      <c r="F20" s="2285"/>
      <c r="G20" s="2285"/>
      <c r="H20" s="2285"/>
      <c r="I20" s="2286"/>
      <c r="J20" s="2287">
        <f t="shared" si="0"/>
        <v>0</v>
      </c>
      <c r="K20" s="2288"/>
      <c r="L20" s="2288"/>
      <c r="M20" s="2288"/>
      <c r="N20" s="2288"/>
      <c r="O20" s="2289"/>
      <c r="P20" s="2287" cm="1">
        <f t="array" ref="P20">SUMPRODUCT((Application!$B$718:$B$752 = 'CalHFA Addendum'!P$18)*(Application!$AC$718:$AC$752 = 'CalHFA Addendum'!$B20),Application!$G$718:$G$752)</f>
        <v>0</v>
      </c>
      <c r="Q20" s="2288"/>
      <c r="R20" s="2288"/>
      <c r="S20" s="2288"/>
      <c r="T20" s="2288"/>
      <c r="U20" s="2289"/>
      <c r="V20" s="2287" cm="1">
        <f t="array" ref="V20">SUMPRODUCT((Application!$B$714:$B$738 = 'CalHFA Addendum'!V$18)*(Application!$AC$714:$AC$738 = 'CalHFA Addendum'!$B20),Application!$G$714:$G$738)</f>
        <v>0</v>
      </c>
      <c r="W20" s="2288"/>
      <c r="X20" s="2288"/>
      <c r="Y20" s="2288"/>
      <c r="Z20" s="2288"/>
      <c r="AA20" s="2289"/>
      <c r="AB20" s="2287" cm="1">
        <f t="array" ref="AB20">SUMPRODUCT((Application!$B$714:$B$738 = 'CalHFA Addendum'!AB$18)*(Application!$AC$714:$AC$738 = 'CalHFA Addendum'!$B20),Application!$G$714:$G$738)</f>
        <v>0</v>
      </c>
      <c r="AC20" s="2288"/>
      <c r="AD20" s="2288"/>
      <c r="AE20" s="2288"/>
      <c r="AF20" s="2288"/>
      <c r="AG20" s="2289"/>
      <c r="AH20" s="2287" cm="1">
        <f t="array" ref="AH20">SUMPRODUCT((Application!$B$714:$B$738 = 'CalHFA Addendum'!AH$18)*(Application!$AC$714:$AC$738 = 'CalHFA Addendum'!$B20),Application!$G$714:$G$738)</f>
        <v>0</v>
      </c>
      <c r="AI20" s="2288"/>
      <c r="AJ20" s="2288"/>
      <c r="AK20" s="2288"/>
      <c r="AL20" s="2288"/>
      <c r="AM20" s="2289"/>
      <c r="AN20" s="2287" cm="1">
        <f t="array" ref="AN20">SUMPRODUCT((Application!$B$714:$B$738 = 'CalHFA Addendum'!AN$18)*(Application!$AC$714:$AC$738 = 'CalHFA Addendum'!$B20),Application!$G$714:$G$738)</f>
        <v>0</v>
      </c>
      <c r="AO20" s="2288"/>
      <c r="AP20" s="2288"/>
      <c r="AQ20" s="2288"/>
      <c r="AR20" s="2288"/>
      <c r="AS20" s="2289"/>
      <c r="AT20" s="2272">
        <f t="shared" si="1"/>
        <v>0</v>
      </c>
      <c r="AU20" s="2273"/>
      <c r="AV20" s="2273"/>
      <c r="AW20" s="2273"/>
      <c r="AX20" s="2273"/>
      <c r="AY20" s="2274"/>
      <c r="AZ20" s="1189"/>
      <c r="BA20" s="1189"/>
      <c r="BB20" s="1189"/>
      <c r="BC20" s="1189"/>
      <c r="BD20" s="1189"/>
      <c r="BE20" s="1193"/>
    </row>
    <row r="21" spans="1:58" ht="15">
      <c r="A21" s="1189"/>
      <c r="B21" s="2284">
        <v>0.5</v>
      </c>
      <c r="C21" s="2285"/>
      <c r="D21" s="2285"/>
      <c r="E21" s="2285"/>
      <c r="F21" s="2285"/>
      <c r="G21" s="2285"/>
      <c r="H21" s="2285"/>
      <c r="I21" s="2286"/>
      <c r="J21" s="2287">
        <f t="shared" si="0"/>
        <v>36</v>
      </c>
      <c r="K21" s="2288"/>
      <c r="L21" s="2288"/>
      <c r="M21" s="2288"/>
      <c r="N21" s="2288"/>
      <c r="O21" s="2289"/>
      <c r="P21" s="2287" cm="1">
        <f t="array" ref="P21">SUMPRODUCT((Application!$B$714:$B$738 = 'CalHFA Addendum'!P$18)*(Application!$AC$714:$AC$738 = 'CalHFA Addendum'!$B21),Application!$G$714:$G$738)</f>
        <v>0</v>
      </c>
      <c r="Q21" s="2288"/>
      <c r="R21" s="2288"/>
      <c r="S21" s="2288"/>
      <c r="T21" s="2288"/>
      <c r="U21" s="2289"/>
      <c r="V21" s="2287" cm="1">
        <f t="array" ref="V21">SUMPRODUCT((Application!$B$714:$B$738 = 'CalHFA Addendum'!V$18)*(Application!$AC$714:$AC$738 = 'CalHFA Addendum'!$B21),Application!$G$714:$G$738)</f>
        <v>33</v>
      </c>
      <c r="W21" s="2288"/>
      <c r="X21" s="2288"/>
      <c r="Y21" s="2288"/>
      <c r="Z21" s="2288"/>
      <c r="AA21" s="2289"/>
      <c r="AB21" s="2287" cm="1">
        <f t="array" ref="AB21">SUMPRODUCT((Application!$B$714:$B$738 = 'CalHFA Addendum'!AB$18)*(Application!$AC$714:$AC$738 = 'CalHFA Addendum'!$B21),Application!$G$714:$G$738)</f>
        <v>3</v>
      </c>
      <c r="AC21" s="2288"/>
      <c r="AD21" s="2288"/>
      <c r="AE21" s="2288"/>
      <c r="AF21" s="2288"/>
      <c r="AG21" s="2289"/>
      <c r="AH21" s="2287" cm="1">
        <f t="array" ref="AH21">SUMPRODUCT((Application!$B$714:$B$738 = 'CalHFA Addendum'!AH$18)*(Application!$AC$714:$AC$738 = 'CalHFA Addendum'!$B21),Application!$G$714:$G$738)</f>
        <v>0</v>
      </c>
      <c r="AI21" s="2288"/>
      <c r="AJ21" s="2288"/>
      <c r="AK21" s="2288"/>
      <c r="AL21" s="2288"/>
      <c r="AM21" s="2289"/>
      <c r="AN21" s="2287" cm="1">
        <f t="array" ref="AN21">SUMPRODUCT((Application!$B$714:$B$738 = 'CalHFA Addendum'!AN$18)*(Application!$AC$714:$AC$738 = 'CalHFA Addendum'!$B21),Application!$G$714:$G$738)</f>
        <v>0</v>
      </c>
      <c r="AO21" s="2288"/>
      <c r="AP21" s="2288"/>
      <c r="AQ21" s="2288"/>
      <c r="AR21" s="2288"/>
      <c r="AS21" s="2289"/>
      <c r="AT21" s="2272">
        <f t="shared" si="1"/>
        <v>9.1139240506329114E-2</v>
      </c>
      <c r="AU21" s="2273"/>
      <c r="AV21" s="2273"/>
      <c r="AW21" s="2273"/>
      <c r="AX21" s="2273"/>
      <c r="AY21" s="2274"/>
      <c r="AZ21" s="1189"/>
      <c r="BA21" s="1189"/>
      <c r="BB21" s="1189"/>
      <c r="BC21" s="1189"/>
      <c r="BD21" s="1189"/>
      <c r="BE21" s="1193"/>
    </row>
    <row r="22" spans="1:58" ht="15">
      <c r="A22" s="1189"/>
      <c r="B22" s="2284">
        <v>0.6</v>
      </c>
      <c r="C22" s="2285"/>
      <c r="D22" s="2285"/>
      <c r="E22" s="2285"/>
      <c r="F22" s="2285"/>
      <c r="G22" s="2285"/>
      <c r="H22" s="2285"/>
      <c r="I22" s="2286"/>
      <c r="J22" s="2287">
        <f t="shared" si="0"/>
        <v>147</v>
      </c>
      <c r="K22" s="2288"/>
      <c r="L22" s="2288"/>
      <c r="M22" s="2288"/>
      <c r="N22" s="2288"/>
      <c r="O22" s="2289"/>
      <c r="P22" s="2287" cm="1">
        <f t="array" ref="P22">SUMPRODUCT((Application!$B$714:$B$738 = 'CalHFA Addendum'!P$18)*(Application!$AC$714:$AC$738 = 'CalHFA Addendum'!$B22),Application!$G$714:$G$738)</f>
        <v>0</v>
      </c>
      <c r="Q22" s="2288"/>
      <c r="R22" s="2288"/>
      <c r="S22" s="2288"/>
      <c r="T22" s="2288"/>
      <c r="U22" s="2289"/>
      <c r="V22" s="2287" cm="1">
        <f t="array" ref="V22">SUMPRODUCT((Application!$B$714:$B$738 = 'CalHFA Addendum'!V$18)*(Application!$AC$714:$AC$738 = 'CalHFA Addendum'!$B22),Application!$G$714:$G$738)</f>
        <v>131</v>
      </c>
      <c r="W22" s="2288"/>
      <c r="X22" s="2288"/>
      <c r="Y22" s="2288"/>
      <c r="Z22" s="2288"/>
      <c r="AA22" s="2289"/>
      <c r="AB22" s="2287" cm="1">
        <f t="array" ref="AB22">SUMPRODUCT((Application!$B$714:$B$738 = 'CalHFA Addendum'!AB$18)*(Application!$AC$714:$AC$738 = 'CalHFA Addendum'!$B22),Application!$G$714:$G$738)</f>
        <v>16</v>
      </c>
      <c r="AC22" s="2288"/>
      <c r="AD22" s="2288"/>
      <c r="AE22" s="2288"/>
      <c r="AF22" s="2288"/>
      <c r="AG22" s="2289"/>
      <c r="AH22" s="2287" cm="1">
        <f t="array" ref="AH22">SUMPRODUCT((Application!$B$714:$B$738 = 'CalHFA Addendum'!AH$18)*(Application!$AC$714:$AC$738 = 'CalHFA Addendum'!$B22),Application!$G$714:$G$738)</f>
        <v>0</v>
      </c>
      <c r="AI22" s="2288"/>
      <c r="AJ22" s="2288"/>
      <c r="AK22" s="2288"/>
      <c r="AL22" s="2288"/>
      <c r="AM22" s="2289"/>
      <c r="AN22" s="2287" cm="1">
        <f t="array" ref="AN22">SUMPRODUCT((Application!$B$714:$B$738 = 'CalHFA Addendum'!AN$18)*(Application!$AC$714:$AC$738 = 'CalHFA Addendum'!$B22),Application!$G$714:$G$738)</f>
        <v>0</v>
      </c>
      <c r="AO22" s="2288"/>
      <c r="AP22" s="2288"/>
      <c r="AQ22" s="2288"/>
      <c r="AR22" s="2288"/>
      <c r="AS22" s="2289"/>
      <c r="AT22" s="2272">
        <f t="shared" si="1"/>
        <v>0.3721518987341772</v>
      </c>
      <c r="AU22" s="2273"/>
      <c r="AV22" s="2273"/>
      <c r="AW22" s="2273"/>
      <c r="AX22" s="2273"/>
      <c r="AY22" s="2274"/>
      <c r="AZ22" s="1189"/>
      <c r="BA22" s="1189"/>
      <c r="BB22" s="1189"/>
      <c r="BC22" s="1189"/>
      <c r="BD22" s="1189"/>
      <c r="BE22" s="1193"/>
    </row>
    <row r="23" spans="1:58" ht="15">
      <c r="A23" s="1189"/>
      <c r="B23" s="2284">
        <v>0.7</v>
      </c>
      <c r="C23" s="2285"/>
      <c r="D23" s="2285"/>
      <c r="E23" s="2285"/>
      <c r="F23" s="2285"/>
      <c r="G23" s="2285"/>
      <c r="H23" s="2285"/>
      <c r="I23" s="2286"/>
      <c r="J23" s="2287">
        <f t="shared" si="0"/>
        <v>165</v>
      </c>
      <c r="K23" s="2288"/>
      <c r="L23" s="2288"/>
      <c r="M23" s="2288"/>
      <c r="N23" s="2288"/>
      <c r="O23" s="2289"/>
      <c r="P23" s="2287" cm="1">
        <f t="array" ref="P23">SUMPRODUCT((Application!$B$714:$B$738 = 'CalHFA Addendum'!P$18)*(Application!$AC$714:$AC$738 = 'CalHFA Addendum'!$B23),Application!$G$714:$G$738)</f>
        <v>0</v>
      </c>
      <c r="Q23" s="2288"/>
      <c r="R23" s="2288"/>
      <c r="S23" s="2288"/>
      <c r="T23" s="2288"/>
      <c r="U23" s="2289"/>
      <c r="V23" s="2287" cm="1">
        <f t="array" ref="V23">SUMPRODUCT((Application!$B$714:$B$738 = 'CalHFA Addendum'!V$18)*(Application!$AC$714:$AC$738 = 'CalHFA Addendum'!$B23),Application!$G$714:$G$738)</f>
        <v>158</v>
      </c>
      <c r="W23" s="2288"/>
      <c r="X23" s="2288"/>
      <c r="Y23" s="2288"/>
      <c r="Z23" s="2288"/>
      <c r="AA23" s="2289"/>
      <c r="AB23" s="2287" cm="1">
        <f t="array" ref="AB23">SUMPRODUCT((Application!$B$714:$B$738 = 'CalHFA Addendum'!AB$18)*(Application!$AC$714:$AC$738 = 'CalHFA Addendum'!$B23),Application!$G$714:$G$738)</f>
        <v>7</v>
      </c>
      <c r="AC23" s="2288"/>
      <c r="AD23" s="2288"/>
      <c r="AE23" s="2288"/>
      <c r="AF23" s="2288"/>
      <c r="AG23" s="2289"/>
      <c r="AH23" s="2287" cm="1">
        <f t="array" ref="AH23">SUMPRODUCT((Application!$B$714:$B$738 = 'CalHFA Addendum'!AH$18)*(Application!$AC$714:$AC$738 = 'CalHFA Addendum'!$B23),Application!$G$714:$G$738)</f>
        <v>0</v>
      </c>
      <c r="AI23" s="2288"/>
      <c r="AJ23" s="2288"/>
      <c r="AK23" s="2288"/>
      <c r="AL23" s="2288"/>
      <c r="AM23" s="2289"/>
      <c r="AN23" s="2287" cm="1">
        <f t="array" ref="AN23">SUMPRODUCT((Application!$B$714:$B$738 = 'CalHFA Addendum'!AN$18)*(Application!$AC$714:$AC$738 = 'CalHFA Addendum'!$B23),Application!$G$714:$G$738)</f>
        <v>0</v>
      </c>
      <c r="AO23" s="2288"/>
      <c r="AP23" s="2288"/>
      <c r="AQ23" s="2288"/>
      <c r="AR23" s="2288"/>
      <c r="AS23" s="2289"/>
      <c r="AT23" s="2272">
        <f t="shared" si="1"/>
        <v>0.41772151898734178</v>
      </c>
      <c r="AU23" s="2273"/>
      <c r="AV23" s="2273"/>
      <c r="AW23" s="2273"/>
      <c r="AX23" s="2273"/>
      <c r="AY23" s="2274"/>
      <c r="AZ23" s="1189"/>
      <c r="BA23" s="1189"/>
      <c r="BB23" s="1189"/>
      <c r="BC23" s="1189"/>
      <c r="BD23" s="1189"/>
      <c r="BE23" s="1193"/>
    </row>
    <row r="24" spans="1:58" ht="15">
      <c r="A24" s="1189"/>
      <c r="B24" s="2284">
        <v>0.8</v>
      </c>
      <c r="C24" s="2285"/>
      <c r="D24" s="2285"/>
      <c r="E24" s="2285"/>
      <c r="F24" s="2285"/>
      <c r="G24" s="2285"/>
      <c r="H24" s="2285"/>
      <c r="I24" s="2286"/>
      <c r="J24" s="2287">
        <f t="shared" si="0"/>
        <v>0</v>
      </c>
      <c r="K24" s="2288"/>
      <c r="L24" s="2288"/>
      <c r="M24" s="2288"/>
      <c r="N24" s="2288"/>
      <c r="O24" s="2289"/>
      <c r="P24" s="2287" cm="1">
        <f t="array" ref="P24">SUMPRODUCT((Application!$B$714:$B$738 = 'CalHFA Addendum'!P$18)*(Application!$AC$714:$AC$738 = 'CalHFA Addendum'!$B24),Application!$G$714:$G$738)</f>
        <v>0</v>
      </c>
      <c r="Q24" s="2288"/>
      <c r="R24" s="2288"/>
      <c r="S24" s="2288"/>
      <c r="T24" s="2288"/>
      <c r="U24" s="2289"/>
      <c r="V24" s="2287" cm="1">
        <f t="array" ref="V24">SUMPRODUCT((Application!$B$714:$B$738 = 'CalHFA Addendum'!V$18)*(Application!$AC$714:$AC$738 = 'CalHFA Addendum'!$B24),Application!$G$714:$G$738)</f>
        <v>0</v>
      </c>
      <c r="W24" s="2288"/>
      <c r="X24" s="2288"/>
      <c r="Y24" s="2288"/>
      <c r="Z24" s="2288"/>
      <c r="AA24" s="2289"/>
      <c r="AB24" s="2287" cm="1">
        <f t="array" ref="AB24">SUMPRODUCT((Application!$B$714:$B$738 = 'CalHFA Addendum'!AB$18)*(Application!$AC$714:$AC$738 = 'CalHFA Addendum'!$B24),Application!$G$714:$G$738)</f>
        <v>0</v>
      </c>
      <c r="AC24" s="2288"/>
      <c r="AD24" s="2288"/>
      <c r="AE24" s="2288"/>
      <c r="AF24" s="2288"/>
      <c r="AG24" s="2289"/>
      <c r="AH24" s="2287" cm="1">
        <f t="array" ref="AH24">SUMPRODUCT((Application!$B$714:$B$738 = 'CalHFA Addendum'!AH$18)*(Application!$AC$714:$AC$738 = 'CalHFA Addendum'!$B24),Application!$G$714:$G$738)</f>
        <v>0</v>
      </c>
      <c r="AI24" s="2288"/>
      <c r="AJ24" s="2288"/>
      <c r="AK24" s="2288"/>
      <c r="AL24" s="2288"/>
      <c r="AM24" s="2289"/>
      <c r="AN24" s="2287" cm="1">
        <f t="array" ref="AN24">SUMPRODUCT((Application!$B$714:$B$738 = 'CalHFA Addendum'!AN$18)*(Application!$AC$714:$AC$738 = 'CalHFA Addendum'!$B24),Application!$G$714:$G$738)</f>
        <v>0</v>
      </c>
      <c r="AO24" s="2288"/>
      <c r="AP24" s="2288"/>
      <c r="AQ24" s="2288"/>
      <c r="AR24" s="2288"/>
      <c r="AS24" s="2289"/>
      <c r="AT24" s="2272">
        <f t="shared" si="1"/>
        <v>0</v>
      </c>
      <c r="AU24" s="2273"/>
      <c r="AV24" s="2273"/>
      <c r="AW24" s="2273"/>
      <c r="AX24" s="2273"/>
      <c r="AY24" s="2274"/>
      <c r="AZ24" s="1189"/>
      <c r="BA24" s="1189"/>
      <c r="BB24" s="1189"/>
      <c r="BC24" s="1189"/>
      <c r="BD24" s="1189"/>
      <c r="BE24" s="1193"/>
    </row>
    <row r="25" spans="1:58" ht="15">
      <c r="A25" s="1189"/>
      <c r="B25" s="2284">
        <v>0.9</v>
      </c>
      <c r="C25" s="2285"/>
      <c r="D25" s="2285"/>
      <c r="E25" s="2285"/>
      <c r="F25" s="2285"/>
      <c r="G25" s="2285"/>
      <c r="H25" s="2285"/>
      <c r="I25" s="2286"/>
      <c r="J25" s="2269"/>
      <c r="K25" s="2270"/>
      <c r="L25" s="2270"/>
      <c r="M25" s="2270"/>
      <c r="N25" s="2270"/>
      <c r="O25" s="2271"/>
      <c r="P25" s="2269"/>
      <c r="Q25" s="2270"/>
      <c r="R25" s="2270"/>
      <c r="S25" s="2270"/>
      <c r="T25" s="2270"/>
      <c r="U25" s="2271"/>
      <c r="V25" s="2269"/>
      <c r="W25" s="2270"/>
      <c r="X25" s="2270"/>
      <c r="Y25" s="2270"/>
      <c r="Z25" s="2270"/>
      <c r="AA25" s="2271"/>
      <c r="AB25" s="2269"/>
      <c r="AC25" s="2270"/>
      <c r="AD25" s="2270"/>
      <c r="AE25" s="2270"/>
      <c r="AF25" s="2270"/>
      <c r="AG25" s="2271"/>
      <c r="AH25" s="2269"/>
      <c r="AI25" s="2270"/>
      <c r="AJ25" s="2270"/>
      <c r="AK25" s="2270"/>
      <c r="AL25" s="2270"/>
      <c r="AM25" s="2271"/>
      <c r="AN25" s="2269"/>
      <c r="AO25" s="2270"/>
      <c r="AP25" s="2270"/>
      <c r="AQ25" s="2270"/>
      <c r="AR25" s="2270"/>
      <c r="AS25" s="2271"/>
      <c r="AT25" s="2272">
        <f t="shared" si="1"/>
        <v>0</v>
      </c>
      <c r="AU25" s="2273"/>
      <c r="AV25" s="2273"/>
      <c r="AW25" s="2273"/>
      <c r="AX25" s="2273"/>
      <c r="AY25" s="2274"/>
      <c r="AZ25" s="1189"/>
      <c r="BA25" s="1189"/>
      <c r="BB25" s="1189"/>
      <c r="BC25" s="1189"/>
      <c r="BD25" s="1189"/>
      <c r="BE25" s="1193"/>
    </row>
    <row r="26" spans="1:58" ht="15">
      <c r="A26" s="1189"/>
      <c r="B26" s="2284">
        <v>1</v>
      </c>
      <c r="C26" s="2285"/>
      <c r="D26" s="2285"/>
      <c r="E26" s="2285"/>
      <c r="F26" s="2285"/>
      <c r="G26" s="2285"/>
      <c r="H26" s="2285"/>
      <c r="I26" s="2286"/>
      <c r="J26" s="2269"/>
      <c r="K26" s="2270"/>
      <c r="L26" s="2270"/>
      <c r="M26" s="2270"/>
      <c r="N26" s="2270"/>
      <c r="O26" s="2271"/>
      <c r="P26" s="2269"/>
      <c r="Q26" s="2270"/>
      <c r="R26" s="2270"/>
      <c r="S26" s="2270"/>
      <c r="T26" s="2270"/>
      <c r="U26" s="2271"/>
      <c r="V26" s="2269"/>
      <c r="W26" s="2270"/>
      <c r="X26" s="2270"/>
      <c r="Y26" s="2270"/>
      <c r="Z26" s="2270"/>
      <c r="AA26" s="2271"/>
      <c r="AB26" s="2269"/>
      <c r="AC26" s="2270"/>
      <c r="AD26" s="2270"/>
      <c r="AE26" s="2270"/>
      <c r="AF26" s="2270"/>
      <c r="AG26" s="2271"/>
      <c r="AH26" s="2269"/>
      <c r="AI26" s="2270"/>
      <c r="AJ26" s="2270"/>
      <c r="AK26" s="2270"/>
      <c r="AL26" s="2270"/>
      <c r="AM26" s="2271"/>
      <c r="AN26" s="2269"/>
      <c r="AO26" s="2270"/>
      <c r="AP26" s="2270"/>
      <c r="AQ26" s="2270"/>
      <c r="AR26" s="2270"/>
      <c r="AS26" s="2271"/>
      <c r="AT26" s="2272">
        <f t="shared" si="1"/>
        <v>0</v>
      </c>
      <c r="AU26" s="2273"/>
      <c r="AV26" s="2273"/>
      <c r="AW26" s="2273"/>
      <c r="AX26" s="2273"/>
      <c r="AY26" s="2274"/>
      <c r="AZ26" s="1189"/>
      <c r="BA26" s="1189"/>
      <c r="BB26" s="1189"/>
      <c r="BC26" s="1189"/>
      <c r="BD26" s="1189"/>
      <c r="BE26" s="1193"/>
    </row>
    <row r="27" spans="1:58" ht="15">
      <c r="A27" s="1189"/>
      <c r="B27" s="2284">
        <v>1.2</v>
      </c>
      <c r="C27" s="2285"/>
      <c r="D27" s="2285"/>
      <c r="E27" s="2285"/>
      <c r="F27" s="2285"/>
      <c r="G27" s="2285"/>
      <c r="H27" s="2285"/>
      <c r="I27" s="2286"/>
      <c r="J27" s="2269"/>
      <c r="K27" s="2270"/>
      <c r="L27" s="2270"/>
      <c r="M27" s="2270"/>
      <c r="N27" s="2270"/>
      <c r="O27" s="2271"/>
      <c r="P27" s="2269"/>
      <c r="Q27" s="2270"/>
      <c r="R27" s="2270"/>
      <c r="S27" s="2270"/>
      <c r="T27" s="2270"/>
      <c r="U27" s="2271"/>
      <c r="V27" s="2269"/>
      <c r="W27" s="2270"/>
      <c r="X27" s="2270"/>
      <c r="Y27" s="2270"/>
      <c r="Z27" s="2270"/>
      <c r="AA27" s="2271"/>
      <c r="AB27" s="2269"/>
      <c r="AC27" s="2270"/>
      <c r="AD27" s="2270"/>
      <c r="AE27" s="2270"/>
      <c r="AF27" s="2270"/>
      <c r="AG27" s="2271"/>
      <c r="AH27" s="2269"/>
      <c r="AI27" s="2270"/>
      <c r="AJ27" s="2270"/>
      <c r="AK27" s="2270"/>
      <c r="AL27" s="2270"/>
      <c r="AM27" s="2271"/>
      <c r="AN27" s="2269"/>
      <c r="AO27" s="2270"/>
      <c r="AP27" s="2270"/>
      <c r="AQ27" s="2270"/>
      <c r="AR27" s="2270"/>
      <c r="AS27" s="2271"/>
      <c r="AT27" s="2272">
        <f t="shared" si="1"/>
        <v>0</v>
      </c>
      <c r="AU27" s="2273"/>
      <c r="AV27" s="2273"/>
      <c r="AW27" s="2273"/>
      <c r="AX27" s="2273"/>
      <c r="AY27" s="2274"/>
      <c r="AZ27" s="1189"/>
      <c r="BA27" s="1189"/>
      <c r="BB27" s="1189"/>
      <c r="BC27" s="1189"/>
      <c r="BD27" s="1189"/>
      <c r="BE27" s="1193"/>
    </row>
    <row r="28" spans="1:58" thickBot="1">
      <c r="A28" s="1189"/>
      <c r="B28" s="2275" t="s">
        <v>2431</v>
      </c>
      <c r="C28" s="2276"/>
      <c r="D28" s="2276"/>
      <c r="E28" s="2276"/>
      <c r="F28" s="2276"/>
      <c r="G28" s="2276"/>
      <c r="H28" s="2276"/>
      <c r="I28" s="2277"/>
      <c r="J28" s="2278">
        <f>SUM(P28:AS28)</f>
        <v>4</v>
      </c>
      <c r="K28" s="2279"/>
      <c r="L28" s="2279"/>
      <c r="M28" s="2279"/>
      <c r="N28" s="2279"/>
      <c r="O28" s="2280"/>
      <c r="P28" s="2278">
        <f>_xlfn.IFNA(VLOOKUP(P$18,Application!$J$773:$S$776,6,FALSE), 0)</f>
        <v>0</v>
      </c>
      <c r="Q28" s="2279"/>
      <c r="R28" s="2279"/>
      <c r="S28" s="2279"/>
      <c r="T28" s="2279"/>
      <c r="U28" s="2280"/>
      <c r="V28" s="2278">
        <f>_xlfn.IFNA(VLOOKUP(V$18,Application!$J$773:$S$776,6,FALSE), 0)</f>
        <v>0</v>
      </c>
      <c r="W28" s="2279"/>
      <c r="X28" s="2279"/>
      <c r="Y28" s="2279"/>
      <c r="Z28" s="2279"/>
      <c r="AA28" s="2280"/>
      <c r="AB28" s="2278">
        <f>_xlfn.IFNA(VLOOKUP(AB$18,Application!$J$773:$S$776,6,FALSE), 0)</f>
        <v>4</v>
      </c>
      <c r="AC28" s="2279"/>
      <c r="AD28" s="2279"/>
      <c r="AE28" s="2279"/>
      <c r="AF28" s="2279"/>
      <c r="AG28" s="2280"/>
      <c r="AH28" s="2278">
        <f>_xlfn.IFNA(VLOOKUP(AH$18,Application!$J$773:$S$776,6,FALSE), 0)</f>
        <v>0</v>
      </c>
      <c r="AI28" s="2279"/>
      <c r="AJ28" s="2279"/>
      <c r="AK28" s="2279"/>
      <c r="AL28" s="2279"/>
      <c r="AM28" s="2280"/>
      <c r="AN28" s="2278">
        <f>_xlfn.IFNA(VLOOKUP(AN$18,Application!$J$773:$S$776,6,FALSE), 0)</f>
        <v>0</v>
      </c>
      <c r="AO28" s="2279"/>
      <c r="AP28" s="2279"/>
      <c r="AQ28" s="2279"/>
      <c r="AR28" s="2279"/>
      <c r="AS28" s="2280"/>
      <c r="AT28" s="2281">
        <f t="shared" si="1"/>
        <v>1.0126582278481013E-2</v>
      </c>
      <c r="AU28" s="2282"/>
      <c r="AV28" s="2282"/>
      <c r="AW28" s="2282"/>
      <c r="AX28" s="2282"/>
      <c r="AY28" s="2283"/>
      <c r="AZ28" s="1189"/>
      <c r="BA28" s="1189"/>
      <c r="BB28" s="1189"/>
      <c r="BC28" s="1189"/>
      <c r="BD28" s="1189"/>
      <c r="BE28" s="1193"/>
    </row>
    <row r="29" spans="1:58" thickBot="1">
      <c r="A29" s="1189"/>
      <c r="B29" s="2258" t="s">
        <v>1585</v>
      </c>
      <c r="C29" s="2231"/>
      <c r="D29" s="2231"/>
      <c r="E29" s="2231"/>
      <c r="F29" s="2231"/>
      <c r="G29" s="2231"/>
      <c r="H29" s="2231"/>
      <c r="I29" s="2232"/>
      <c r="J29" s="2230">
        <f>SUM(J19:O28)</f>
        <v>395</v>
      </c>
      <c r="K29" s="2231"/>
      <c r="L29" s="2231"/>
      <c r="M29" s="2231"/>
      <c r="N29" s="2231"/>
      <c r="O29" s="2232"/>
      <c r="P29" s="2230">
        <f>SUM(P19:U28)</f>
        <v>0</v>
      </c>
      <c r="Q29" s="2231"/>
      <c r="R29" s="2231"/>
      <c r="S29" s="2231"/>
      <c r="T29" s="2231"/>
      <c r="U29" s="2232"/>
      <c r="V29" s="2230">
        <f>SUM(V19:AA28)</f>
        <v>365</v>
      </c>
      <c r="W29" s="2231"/>
      <c r="X29" s="2231"/>
      <c r="Y29" s="2231"/>
      <c r="Z29" s="2231"/>
      <c r="AA29" s="2232"/>
      <c r="AB29" s="2230">
        <f>SUM(AB19:AG28)</f>
        <v>30</v>
      </c>
      <c r="AC29" s="2231"/>
      <c r="AD29" s="2231"/>
      <c r="AE29" s="2231"/>
      <c r="AF29" s="2231"/>
      <c r="AG29" s="2232"/>
      <c r="AH29" s="2230">
        <f>SUM(AH19:AM28)</f>
        <v>0</v>
      </c>
      <c r="AI29" s="2231"/>
      <c r="AJ29" s="2231"/>
      <c r="AK29" s="2231"/>
      <c r="AL29" s="2231"/>
      <c r="AM29" s="2232"/>
      <c r="AN29" s="2230">
        <f>SUM(AN19:AS28)</f>
        <v>0</v>
      </c>
      <c r="AO29" s="2231"/>
      <c r="AP29" s="2231"/>
      <c r="AQ29" s="2231"/>
      <c r="AR29" s="2231"/>
      <c r="AS29" s="2232"/>
      <c r="AT29" s="2233">
        <f t="shared" si="1"/>
        <v>1</v>
      </c>
      <c r="AU29" s="2234"/>
      <c r="AV29" s="2234"/>
      <c r="AW29" s="2234"/>
      <c r="AX29" s="2234"/>
      <c r="AY29" s="2235"/>
      <c r="AZ29" s="1189"/>
      <c r="BA29" s="1189"/>
      <c r="BB29" s="1189"/>
      <c r="BC29" s="1189"/>
      <c r="BD29" s="1189"/>
      <c r="BE29" s="1193"/>
    </row>
    <row r="30" spans="1:58" thickBot="1">
      <c r="A30" s="1188"/>
      <c r="B30" s="1189"/>
      <c r="C30" s="1189"/>
      <c r="D30" s="1189"/>
      <c r="E30" s="1189"/>
      <c r="F30" s="1189"/>
      <c r="G30" s="1189"/>
      <c r="H30" s="1189"/>
      <c r="I30" s="1189"/>
      <c r="J30" s="1189"/>
      <c r="K30" s="1189"/>
      <c r="L30" s="1189"/>
      <c r="M30" s="1189"/>
      <c r="N30" s="1189"/>
      <c r="O30" s="1189"/>
      <c r="P30" s="1189"/>
      <c r="Q30" s="1189"/>
      <c r="R30" s="1189"/>
      <c r="S30" s="1189"/>
      <c r="T30" s="1189"/>
      <c r="U30" s="1189"/>
      <c r="V30" s="1189"/>
      <c r="W30" s="1189"/>
      <c r="X30" s="1189"/>
      <c r="Y30" s="1189"/>
      <c r="Z30" s="1189"/>
      <c r="AA30" s="1189"/>
      <c r="AB30" s="1189"/>
      <c r="AC30" s="1189"/>
      <c r="AD30" s="1189"/>
      <c r="AE30" s="1189"/>
      <c r="AF30" s="1189"/>
      <c r="AG30" s="1189"/>
      <c r="AH30" s="1189"/>
      <c r="AI30" s="1189"/>
      <c r="AJ30" s="1189"/>
      <c r="AK30" s="1189"/>
      <c r="AL30" s="1189"/>
      <c r="AM30" s="1189"/>
      <c r="AN30" s="1189"/>
      <c r="AO30" s="1189"/>
      <c r="AP30" s="1189"/>
      <c r="AQ30" s="1189"/>
      <c r="AR30" s="1189"/>
      <c r="AS30" s="1189"/>
      <c r="AT30" s="1189"/>
      <c r="AU30" s="1189"/>
      <c r="AV30" s="1189"/>
      <c r="AW30" s="1189"/>
      <c r="AX30" s="1189"/>
      <c r="AY30" s="1189"/>
      <c r="AZ30" s="1189"/>
      <c r="BA30" s="1189"/>
      <c r="BB30" s="1189"/>
      <c r="BC30" s="1189"/>
      <c r="BD30" s="1189"/>
      <c r="BE30" s="1193"/>
    </row>
    <row r="31" spans="1:58" thickBot="1">
      <c r="A31" s="1189"/>
      <c r="B31" s="2236" t="s">
        <v>2430</v>
      </c>
      <c r="C31" s="2237"/>
      <c r="D31" s="2237"/>
      <c r="E31" s="2237"/>
      <c r="F31" s="2237"/>
      <c r="G31" s="2237"/>
      <c r="H31" s="2237"/>
      <c r="I31" s="2237"/>
      <c r="J31" s="2237"/>
      <c r="K31" s="2237"/>
      <c r="L31" s="2237"/>
      <c r="M31" s="2237"/>
      <c r="N31" s="2237"/>
      <c r="O31" s="2237"/>
      <c r="P31" s="2237"/>
      <c r="Q31" s="2237"/>
      <c r="R31" s="2237"/>
      <c r="S31" s="2237"/>
      <c r="T31" s="2237"/>
      <c r="U31" s="2237"/>
      <c r="V31" s="2237"/>
      <c r="W31" s="2237"/>
      <c r="X31" s="2237"/>
      <c r="Y31" s="2237"/>
      <c r="Z31" s="2237"/>
      <c r="AA31" s="2237"/>
      <c r="AB31" s="2237"/>
      <c r="AC31" s="2237"/>
      <c r="AD31" s="2237"/>
      <c r="AE31" s="2237"/>
      <c r="AF31" s="2237"/>
      <c r="AG31" s="2237"/>
      <c r="AH31" s="2237"/>
      <c r="AI31" s="2237"/>
      <c r="AJ31" s="2237"/>
      <c r="AK31" s="2237"/>
      <c r="AL31" s="2237"/>
      <c r="AM31" s="2237"/>
      <c r="AN31" s="2237"/>
      <c r="AO31" s="2237"/>
      <c r="AP31" s="2237"/>
      <c r="AQ31" s="2237"/>
      <c r="AR31" s="2237"/>
      <c r="AS31" s="2237"/>
      <c r="AT31" s="2237"/>
      <c r="AU31" s="2237"/>
      <c r="AV31" s="2237"/>
      <c r="AW31" s="2237"/>
      <c r="AX31" s="2237"/>
      <c r="AY31" s="2237"/>
      <c r="AZ31" s="2237"/>
      <c r="BA31" s="2237"/>
      <c r="BB31" s="2237"/>
      <c r="BC31" s="2237"/>
      <c r="BD31" s="2238"/>
      <c r="BE31" s="1193"/>
    </row>
    <row r="32" spans="1:58" thickBot="1">
      <c r="A32" s="1189"/>
      <c r="B32" s="2239" t="s">
        <v>2429</v>
      </c>
      <c r="C32" s="2240"/>
      <c r="D32" s="2240"/>
      <c r="E32" s="2240"/>
      <c r="F32" s="2240"/>
      <c r="G32" s="2240"/>
      <c r="H32" s="2240"/>
      <c r="I32" s="2240"/>
      <c r="J32" s="2243" t="s">
        <v>2428</v>
      </c>
      <c r="K32" s="2244"/>
      <c r="L32" s="2244"/>
      <c r="M32" s="2244"/>
      <c r="N32" s="2243" t="s">
        <v>2427</v>
      </c>
      <c r="O32" s="2244"/>
      <c r="P32" s="2244"/>
      <c r="Q32" s="2246"/>
      <c r="R32" s="2248" t="s">
        <v>2426</v>
      </c>
      <c r="S32" s="2249"/>
      <c r="T32" s="2249"/>
      <c r="U32" s="2249"/>
      <c r="V32" s="2249"/>
      <c r="W32" s="2249"/>
      <c r="X32" s="2249"/>
      <c r="Y32" s="2249"/>
      <c r="Z32" s="2249"/>
      <c r="AA32" s="2249"/>
      <c r="AB32" s="2249"/>
      <c r="AC32" s="2249"/>
      <c r="AD32" s="2249"/>
      <c r="AE32" s="2249"/>
      <c r="AF32" s="2249"/>
      <c r="AG32" s="2249"/>
      <c r="AH32" s="2249"/>
      <c r="AI32" s="2249"/>
      <c r="AJ32" s="2249"/>
      <c r="AK32" s="2249"/>
      <c r="AL32" s="2249"/>
      <c r="AM32" s="2249"/>
      <c r="AN32" s="2249"/>
      <c r="AO32" s="2249"/>
      <c r="AP32" s="2249"/>
      <c r="AQ32" s="2249"/>
      <c r="AR32" s="2249"/>
      <c r="AS32" s="2249"/>
      <c r="AT32" s="2249"/>
      <c r="AU32" s="2249"/>
      <c r="AV32" s="2249"/>
      <c r="AW32" s="2249"/>
      <c r="AX32" s="2249"/>
      <c r="AY32" s="2249"/>
      <c r="AZ32" s="2249"/>
      <c r="BA32" s="2249"/>
      <c r="BB32" s="2249"/>
      <c r="BC32" s="2249"/>
      <c r="BD32" s="2250"/>
      <c r="BE32" s="1193"/>
    </row>
    <row r="33" spans="1:58" ht="15" customHeight="1">
      <c r="A33" s="1189"/>
      <c r="B33" s="2241"/>
      <c r="C33" s="2242"/>
      <c r="D33" s="2242"/>
      <c r="E33" s="2242"/>
      <c r="F33" s="2242"/>
      <c r="G33" s="2242"/>
      <c r="H33" s="2242"/>
      <c r="I33" s="2242"/>
      <c r="J33" s="2245"/>
      <c r="K33" s="2245"/>
      <c r="L33" s="2245"/>
      <c r="M33" s="2245"/>
      <c r="N33" s="2245"/>
      <c r="O33" s="2245"/>
      <c r="P33" s="2245"/>
      <c r="Q33" s="2247"/>
      <c r="R33" s="2251" t="s">
        <v>2425</v>
      </c>
      <c r="S33" s="2252"/>
      <c r="T33" s="2252"/>
      <c r="U33" s="2252"/>
      <c r="V33" s="2252"/>
      <c r="W33" s="2252"/>
      <c r="X33" s="2252"/>
      <c r="Y33" s="2252"/>
      <c r="Z33" s="2252"/>
      <c r="AA33" s="2252"/>
      <c r="AB33" s="2252"/>
      <c r="AC33" s="2252"/>
      <c r="AD33" s="2252"/>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2252"/>
      <c r="BB33" s="2252"/>
      <c r="BC33" s="2252"/>
      <c r="BD33" s="2253"/>
      <c r="BE33" s="1193"/>
    </row>
    <row r="34" spans="1:58" ht="15.75" customHeight="1" thickBot="1">
      <c r="A34" s="1189"/>
      <c r="B34" s="2241"/>
      <c r="C34" s="2242"/>
      <c r="D34" s="2242"/>
      <c r="E34" s="2242"/>
      <c r="F34" s="2242"/>
      <c r="G34" s="2242"/>
      <c r="H34" s="2242"/>
      <c r="I34" s="2242"/>
      <c r="J34" s="2245"/>
      <c r="K34" s="2245"/>
      <c r="L34" s="2245"/>
      <c r="M34" s="2245"/>
      <c r="N34" s="2245"/>
      <c r="O34" s="2245"/>
      <c r="P34" s="2245"/>
      <c r="Q34" s="2247"/>
      <c r="R34" s="2254"/>
      <c r="S34" s="2255"/>
      <c r="T34" s="2255"/>
      <c r="U34" s="2255"/>
      <c r="V34" s="2255"/>
      <c r="W34" s="2255"/>
      <c r="X34" s="2255"/>
      <c r="Y34" s="2255"/>
      <c r="Z34" s="2255"/>
      <c r="AA34" s="2255"/>
      <c r="AB34" s="2255"/>
      <c r="AC34" s="2255"/>
      <c r="AD34" s="2255"/>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2255"/>
      <c r="BB34" s="2255"/>
      <c r="BC34" s="2255"/>
      <c r="BD34" s="2256"/>
      <c r="BE34" s="1193"/>
    </row>
    <row r="35" spans="1:58" ht="15.75" customHeight="1">
      <c r="A35" s="1189"/>
      <c r="B35" s="2241"/>
      <c r="C35" s="2242"/>
      <c r="D35" s="2242"/>
      <c r="E35" s="2242"/>
      <c r="F35" s="2242"/>
      <c r="G35" s="2242"/>
      <c r="H35" s="2242"/>
      <c r="I35" s="2242"/>
      <c r="J35" s="2245"/>
      <c r="K35" s="2245"/>
      <c r="L35" s="2245"/>
      <c r="M35" s="2245"/>
      <c r="N35" s="2245"/>
      <c r="O35" s="2245"/>
      <c r="P35" s="2245"/>
      <c r="Q35" s="2245"/>
      <c r="R35" s="2257">
        <v>0.3</v>
      </c>
      <c r="S35" s="2257"/>
      <c r="T35" s="2257"/>
      <c r="U35" s="2257"/>
      <c r="V35" s="2257">
        <v>0.4</v>
      </c>
      <c r="W35" s="2257"/>
      <c r="X35" s="2257"/>
      <c r="Y35" s="2257"/>
      <c r="Z35" s="2257">
        <v>0.5</v>
      </c>
      <c r="AA35" s="2257"/>
      <c r="AB35" s="2257"/>
      <c r="AC35" s="2257"/>
      <c r="AD35" s="2257">
        <v>0.6</v>
      </c>
      <c r="AE35" s="2257"/>
      <c r="AF35" s="2257"/>
      <c r="AG35" s="2257"/>
      <c r="AH35" s="2257">
        <v>0.7</v>
      </c>
      <c r="AI35" s="2257"/>
      <c r="AJ35" s="2257"/>
      <c r="AK35" s="2257"/>
      <c r="AL35" s="2262">
        <v>0.8</v>
      </c>
      <c r="AM35" s="2263"/>
      <c r="AN35" s="2263"/>
      <c r="AO35" s="2264"/>
      <c r="AP35" s="2265">
        <v>1.2</v>
      </c>
      <c r="AQ35" s="2266"/>
      <c r="AR35" s="2267"/>
      <c r="AS35" s="2259" t="s">
        <v>2424</v>
      </c>
      <c r="AT35" s="2260"/>
      <c r="AU35" s="2260"/>
      <c r="AV35" s="2260"/>
      <c r="AW35" s="2260"/>
      <c r="AX35" s="2268"/>
      <c r="AY35" s="2259" t="s">
        <v>2423</v>
      </c>
      <c r="AZ35" s="2260"/>
      <c r="BA35" s="2260"/>
      <c r="BB35" s="2260"/>
      <c r="BC35" s="2260"/>
      <c r="BD35" s="2261"/>
      <c r="BE35" s="1193"/>
    </row>
    <row r="36" spans="1:58" ht="15.75" customHeight="1">
      <c r="A36" s="1189"/>
      <c r="B36" s="2163" t="s">
        <v>2422</v>
      </c>
      <c r="C36" s="2164"/>
      <c r="D36" s="2164"/>
      <c r="E36" s="2164"/>
      <c r="F36" s="2164"/>
      <c r="G36" s="2164"/>
      <c r="H36" s="2164"/>
      <c r="I36" s="2164"/>
      <c r="J36" s="2228" t="s">
        <v>2421</v>
      </c>
      <c r="K36" s="2228"/>
      <c r="L36" s="2228"/>
      <c r="M36" s="2228"/>
      <c r="N36" s="2228">
        <v>55</v>
      </c>
      <c r="O36" s="2228"/>
      <c r="P36" s="2228"/>
      <c r="Q36" s="2228"/>
      <c r="R36" s="2229"/>
      <c r="S36" s="2229"/>
      <c r="T36" s="2229"/>
      <c r="U36" s="2229"/>
      <c r="V36" s="2229"/>
      <c r="W36" s="2229"/>
      <c r="X36" s="2229"/>
      <c r="Y36" s="2229"/>
      <c r="Z36" s="2229"/>
      <c r="AA36" s="2229"/>
      <c r="AB36" s="2229"/>
      <c r="AC36" s="2229"/>
      <c r="AD36" s="2229"/>
      <c r="AE36" s="2229"/>
      <c r="AF36" s="2229"/>
      <c r="AG36" s="2229"/>
      <c r="AH36" s="2229"/>
      <c r="AI36" s="2229"/>
      <c r="AJ36" s="2229"/>
      <c r="AK36" s="2229"/>
      <c r="AL36" s="2213"/>
      <c r="AM36" s="2214"/>
      <c r="AN36" s="2214"/>
      <c r="AO36" s="2215"/>
      <c r="AP36" s="2213"/>
      <c r="AQ36" s="2214"/>
      <c r="AR36" s="2215"/>
      <c r="AS36" s="2216">
        <f t="shared" ref="AS36:AS47" si="2">SUM(R36:AR36)</f>
        <v>0</v>
      </c>
      <c r="AT36" s="2217"/>
      <c r="AU36" s="2217"/>
      <c r="AV36" s="2217"/>
      <c r="AW36" s="2217"/>
      <c r="AX36" s="2218"/>
      <c r="AY36" s="2219">
        <f t="shared" ref="AY36:AY47" si="3">AS36/$J$29</f>
        <v>0</v>
      </c>
      <c r="AZ36" s="2220"/>
      <c r="BA36" s="2220"/>
      <c r="BB36" s="2220"/>
      <c r="BC36" s="2220"/>
      <c r="BD36" s="2221"/>
      <c r="BE36" s="1193"/>
    </row>
    <row r="37" spans="1:58" ht="15.75" customHeight="1">
      <c r="A37" s="1189"/>
      <c r="B37" s="2163" t="s">
        <v>2420</v>
      </c>
      <c r="C37" s="2164"/>
      <c r="D37" s="2164"/>
      <c r="E37" s="2164"/>
      <c r="F37" s="2164"/>
      <c r="G37" s="2164"/>
      <c r="H37" s="2164"/>
      <c r="I37" s="2164"/>
      <c r="J37" s="2228" t="s">
        <v>2419</v>
      </c>
      <c r="K37" s="2228"/>
      <c r="L37" s="2228"/>
      <c r="M37" s="2228"/>
      <c r="N37" s="2228">
        <v>55</v>
      </c>
      <c r="O37" s="2228"/>
      <c r="P37" s="2228"/>
      <c r="Q37" s="2228"/>
      <c r="R37" s="2229"/>
      <c r="S37" s="2229"/>
      <c r="T37" s="2229"/>
      <c r="U37" s="2229"/>
      <c r="V37" s="2229"/>
      <c r="W37" s="2229"/>
      <c r="X37" s="2229"/>
      <c r="Y37" s="2229"/>
      <c r="Z37" s="2229"/>
      <c r="AA37" s="2229"/>
      <c r="AB37" s="2229"/>
      <c r="AC37" s="2229"/>
      <c r="AD37" s="2229"/>
      <c r="AE37" s="2229"/>
      <c r="AF37" s="2229"/>
      <c r="AG37" s="2229"/>
      <c r="AH37" s="2229"/>
      <c r="AI37" s="2229"/>
      <c r="AJ37" s="2229"/>
      <c r="AK37" s="2229"/>
      <c r="AL37" s="2213"/>
      <c r="AM37" s="2214"/>
      <c r="AN37" s="2214"/>
      <c r="AO37" s="2215"/>
      <c r="AP37" s="2213"/>
      <c r="AQ37" s="2214"/>
      <c r="AR37" s="2215"/>
      <c r="AS37" s="2216">
        <f t="shared" si="2"/>
        <v>0</v>
      </c>
      <c r="AT37" s="2217"/>
      <c r="AU37" s="2217"/>
      <c r="AV37" s="2217"/>
      <c r="AW37" s="2217"/>
      <c r="AX37" s="2218"/>
      <c r="AY37" s="2219">
        <f t="shared" si="3"/>
        <v>0</v>
      </c>
      <c r="AZ37" s="2220"/>
      <c r="BA37" s="2220"/>
      <c r="BB37" s="2220"/>
      <c r="BC37" s="2220"/>
      <c r="BD37" s="2221"/>
      <c r="BE37" s="1193"/>
    </row>
    <row r="38" spans="1:58" ht="15.75" customHeight="1">
      <c r="A38" s="1189"/>
      <c r="B38" s="2163" t="s">
        <v>2418</v>
      </c>
      <c r="C38" s="2164"/>
      <c r="D38" s="2164"/>
      <c r="E38" s="2164"/>
      <c r="F38" s="2164"/>
      <c r="G38" s="2164"/>
      <c r="H38" s="2164"/>
      <c r="I38" s="2164"/>
      <c r="J38" s="2228" t="s">
        <v>2417</v>
      </c>
      <c r="K38" s="2228"/>
      <c r="L38" s="2228"/>
      <c r="M38" s="2228"/>
      <c r="N38" s="2228">
        <v>55</v>
      </c>
      <c r="O38" s="2228"/>
      <c r="P38" s="2228"/>
      <c r="Q38" s="2228"/>
      <c r="R38" s="2229"/>
      <c r="S38" s="2229"/>
      <c r="T38" s="2229"/>
      <c r="U38" s="2229"/>
      <c r="V38" s="2229"/>
      <c r="W38" s="2229"/>
      <c r="X38" s="2229"/>
      <c r="Y38" s="2229"/>
      <c r="Z38" s="2229"/>
      <c r="AA38" s="2229"/>
      <c r="AB38" s="2229"/>
      <c r="AC38" s="2229"/>
      <c r="AD38" s="2229"/>
      <c r="AE38" s="2229"/>
      <c r="AF38" s="2229"/>
      <c r="AG38" s="2229"/>
      <c r="AH38" s="2229"/>
      <c r="AI38" s="2229"/>
      <c r="AJ38" s="2229"/>
      <c r="AK38" s="2229"/>
      <c r="AL38" s="2213"/>
      <c r="AM38" s="2214"/>
      <c r="AN38" s="2214"/>
      <c r="AO38" s="2215"/>
      <c r="AP38" s="2213"/>
      <c r="AQ38" s="2214"/>
      <c r="AR38" s="2215"/>
      <c r="AS38" s="2216">
        <f t="shared" si="2"/>
        <v>0</v>
      </c>
      <c r="AT38" s="2217"/>
      <c r="AU38" s="2217"/>
      <c r="AV38" s="2217"/>
      <c r="AW38" s="2217"/>
      <c r="AX38" s="2218"/>
      <c r="AY38" s="2219">
        <f t="shared" si="3"/>
        <v>0</v>
      </c>
      <c r="AZ38" s="2220"/>
      <c r="BA38" s="2220"/>
      <c r="BB38" s="2220"/>
      <c r="BC38" s="2220"/>
      <c r="BD38" s="2221"/>
      <c r="BE38" s="1193"/>
    </row>
    <row r="39" spans="1:58" ht="15.75" customHeight="1">
      <c r="A39" s="1189"/>
      <c r="B39" s="2163" t="s">
        <v>2416</v>
      </c>
      <c r="C39" s="2164"/>
      <c r="D39" s="2164"/>
      <c r="E39" s="2164"/>
      <c r="F39" s="2164"/>
      <c r="G39" s="2164"/>
      <c r="H39" s="2164"/>
      <c r="I39" s="2164"/>
      <c r="J39" s="2228"/>
      <c r="K39" s="2228"/>
      <c r="L39" s="2228"/>
      <c r="M39" s="2228"/>
      <c r="N39" s="2228"/>
      <c r="O39" s="2228"/>
      <c r="P39" s="2228"/>
      <c r="Q39" s="2228"/>
      <c r="R39" s="2229"/>
      <c r="S39" s="2229"/>
      <c r="T39" s="2229"/>
      <c r="U39" s="2229"/>
      <c r="V39" s="2229"/>
      <c r="W39" s="2229"/>
      <c r="X39" s="2229"/>
      <c r="Y39" s="2229"/>
      <c r="Z39" s="2229"/>
      <c r="AA39" s="2229"/>
      <c r="AB39" s="2229"/>
      <c r="AC39" s="2229"/>
      <c r="AD39" s="2229"/>
      <c r="AE39" s="2229"/>
      <c r="AF39" s="2229"/>
      <c r="AG39" s="2229"/>
      <c r="AH39" s="2229"/>
      <c r="AI39" s="2229"/>
      <c r="AJ39" s="2229"/>
      <c r="AK39" s="2229"/>
      <c r="AL39" s="2213"/>
      <c r="AM39" s="2214"/>
      <c r="AN39" s="2214"/>
      <c r="AO39" s="2215"/>
      <c r="AP39" s="2213"/>
      <c r="AQ39" s="2214"/>
      <c r="AR39" s="2215"/>
      <c r="AS39" s="2216">
        <f t="shared" si="2"/>
        <v>0</v>
      </c>
      <c r="AT39" s="2217"/>
      <c r="AU39" s="2217"/>
      <c r="AV39" s="2217"/>
      <c r="AW39" s="2217"/>
      <c r="AX39" s="2218"/>
      <c r="AY39" s="2219">
        <f t="shared" si="3"/>
        <v>0</v>
      </c>
      <c r="AZ39" s="2220"/>
      <c r="BA39" s="2220"/>
      <c r="BB39" s="2220"/>
      <c r="BC39" s="2220"/>
      <c r="BD39" s="2221"/>
      <c r="BE39" s="1193"/>
    </row>
    <row r="40" spans="1:58" ht="15.75" customHeight="1">
      <c r="A40" s="1189"/>
      <c r="B40" s="2163" t="s">
        <v>2416</v>
      </c>
      <c r="C40" s="2164"/>
      <c r="D40" s="2164"/>
      <c r="E40" s="2164"/>
      <c r="F40" s="2164"/>
      <c r="G40" s="2164"/>
      <c r="H40" s="2164"/>
      <c r="I40" s="2164"/>
      <c r="J40" s="2228"/>
      <c r="K40" s="2228"/>
      <c r="L40" s="2228"/>
      <c r="M40" s="2228"/>
      <c r="N40" s="2228"/>
      <c r="O40" s="2228"/>
      <c r="P40" s="2228"/>
      <c r="Q40" s="2228"/>
      <c r="R40" s="2229"/>
      <c r="S40" s="2229"/>
      <c r="T40" s="2229"/>
      <c r="U40" s="2229"/>
      <c r="V40" s="2229"/>
      <c r="W40" s="2229"/>
      <c r="X40" s="2229"/>
      <c r="Y40" s="2229"/>
      <c r="Z40" s="2229"/>
      <c r="AA40" s="2229"/>
      <c r="AB40" s="2229"/>
      <c r="AC40" s="2229"/>
      <c r="AD40" s="2229"/>
      <c r="AE40" s="2229"/>
      <c r="AF40" s="2229"/>
      <c r="AG40" s="2229"/>
      <c r="AH40" s="2229"/>
      <c r="AI40" s="2229"/>
      <c r="AJ40" s="2229"/>
      <c r="AK40" s="2229"/>
      <c r="AL40" s="2213"/>
      <c r="AM40" s="2214"/>
      <c r="AN40" s="2214"/>
      <c r="AO40" s="2215"/>
      <c r="AP40" s="2213"/>
      <c r="AQ40" s="2214"/>
      <c r="AR40" s="2215"/>
      <c r="AS40" s="2216">
        <f t="shared" si="2"/>
        <v>0</v>
      </c>
      <c r="AT40" s="2217"/>
      <c r="AU40" s="2217"/>
      <c r="AV40" s="2217"/>
      <c r="AW40" s="2217"/>
      <c r="AX40" s="2218"/>
      <c r="AY40" s="2219">
        <f t="shared" si="3"/>
        <v>0</v>
      </c>
      <c r="AZ40" s="2220"/>
      <c r="BA40" s="2220"/>
      <c r="BB40" s="2220"/>
      <c r="BC40" s="2220"/>
      <c r="BD40" s="2221"/>
      <c r="BE40" s="1193"/>
    </row>
    <row r="41" spans="1:58" ht="15.75" customHeight="1">
      <c r="A41" s="1189"/>
      <c r="B41" s="2163" t="s">
        <v>2415</v>
      </c>
      <c r="C41" s="2164"/>
      <c r="D41" s="2164"/>
      <c r="E41" s="2164"/>
      <c r="F41" s="2164"/>
      <c r="G41" s="2164"/>
      <c r="H41" s="2164"/>
      <c r="I41" s="2164"/>
      <c r="J41" s="2228"/>
      <c r="K41" s="2228"/>
      <c r="L41" s="2228"/>
      <c r="M41" s="2228"/>
      <c r="N41" s="2228"/>
      <c r="O41" s="2228"/>
      <c r="P41" s="2228"/>
      <c r="Q41" s="2228"/>
      <c r="R41" s="2229"/>
      <c r="S41" s="2229"/>
      <c r="T41" s="2229"/>
      <c r="U41" s="2229"/>
      <c r="V41" s="2229"/>
      <c r="W41" s="2229"/>
      <c r="X41" s="2229"/>
      <c r="Y41" s="2229"/>
      <c r="Z41" s="2229"/>
      <c r="AA41" s="2229"/>
      <c r="AB41" s="2229"/>
      <c r="AC41" s="2229"/>
      <c r="AD41" s="2229"/>
      <c r="AE41" s="2229"/>
      <c r="AF41" s="2229"/>
      <c r="AG41" s="2229"/>
      <c r="AH41" s="2229"/>
      <c r="AI41" s="2229"/>
      <c r="AJ41" s="2229"/>
      <c r="AK41" s="2229"/>
      <c r="AL41" s="2213"/>
      <c r="AM41" s="2214"/>
      <c r="AN41" s="2214"/>
      <c r="AO41" s="2215"/>
      <c r="AP41" s="2213"/>
      <c r="AQ41" s="2214"/>
      <c r="AR41" s="2215"/>
      <c r="AS41" s="2216">
        <f t="shared" si="2"/>
        <v>0</v>
      </c>
      <c r="AT41" s="2217"/>
      <c r="AU41" s="2217"/>
      <c r="AV41" s="2217"/>
      <c r="AW41" s="2217"/>
      <c r="AX41" s="2218"/>
      <c r="AY41" s="2219">
        <f t="shared" si="3"/>
        <v>0</v>
      </c>
      <c r="AZ41" s="2220"/>
      <c r="BA41" s="2220"/>
      <c r="BB41" s="2220"/>
      <c r="BC41" s="2220"/>
      <c r="BD41" s="2221"/>
      <c r="BE41" s="1193"/>
    </row>
    <row r="42" spans="1:58" ht="15.75" customHeight="1">
      <c r="A42" s="1189"/>
      <c r="B42" s="2163" t="s">
        <v>2415</v>
      </c>
      <c r="C42" s="2164"/>
      <c r="D42" s="2164"/>
      <c r="E42" s="2164"/>
      <c r="F42" s="2164"/>
      <c r="G42" s="2164"/>
      <c r="H42" s="2164"/>
      <c r="I42" s="2164"/>
      <c r="J42" s="2228"/>
      <c r="K42" s="2228"/>
      <c r="L42" s="2228"/>
      <c r="M42" s="2228"/>
      <c r="N42" s="2228"/>
      <c r="O42" s="2228"/>
      <c r="P42" s="2228"/>
      <c r="Q42" s="2228"/>
      <c r="R42" s="2229"/>
      <c r="S42" s="2229"/>
      <c r="T42" s="2229"/>
      <c r="U42" s="2229"/>
      <c r="V42" s="2229"/>
      <c r="W42" s="2229"/>
      <c r="X42" s="2229"/>
      <c r="Y42" s="2229"/>
      <c r="Z42" s="2229"/>
      <c r="AA42" s="2229"/>
      <c r="AB42" s="2229"/>
      <c r="AC42" s="2229"/>
      <c r="AD42" s="2229"/>
      <c r="AE42" s="2229"/>
      <c r="AF42" s="2229"/>
      <c r="AG42" s="2229"/>
      <c r="AH42" s="2229"/>
      <c r="AI42" s="2229"/>
      <c r="AJ42" s="2229"/>
      <c r="AK42" s="2229"/>
      <c r="AL42" s="2213"/>
      <c r="AM42" s="2214"/>
      <c r="AN42" s="2214"/>
      <c r="AO42" s="2215"/>
      <c r="AP42" s="2213"/>
      <c r="AQ42" s="2214"/>
      <c r="AR42" s="2215"/>
      <c r="AS42" s="2216">
        <f t="shared" si="2"/>
        <v>0</v>
      </c>
      <c r="AT42" s="2217"/>
      <c r="AU42" s="2217"/>
      <c r="AV42" s="2217"/>
      <c r="AW42" s="2217"/>
      <c r="AX42" s="2218"/>
      <c r="AY42" s="2219">
        <f t="shared" si="3"/>
        <v>0</v>
      </c>
      <c r="AZ42" s="2220"/>
      <c r="BA42" s="2220"/>
      <c r="BB42" s="2220"/>
      <c r="BC42" s="2220"/>
      <c r="BD42" s="2221"/>
      <c r="BE42" s="1193"/>
    </row>
    <row r="43" spans="1:58" ht="15.75" customHeight="1">
      <c r="A43" s="1189"/>
      <c r="B43" s="2168" t="s">
        <v>2414</v>
      </c>
      <c r="C43" s="2169"/>
      <c r="D43" s="2169"/>
      <c r="E43" s="2169"/>
      <c r="F43" s="2169"/>
      <c r="G43" s="2169"/>
      <c r="H43" s="2169"/>
      <c r="I43" s="2169"/>
      <c r="J43" s="2228"/>
      <c r="K43" s="2228"/>
      <c r="L43" s="2228"/>
      <c r="M43" s="2228"/>
      <c r="N43" s="2228"/>
      <c r="O43" s="2228"/>
      <c r="P43" s="2228"/>
      <c r="Q43" s="2228"/>
      <c r="R43" s="2229"/>
      <c r="S43" s="2229"/>
      <c r="T43" s="2229"/>
      <c r="U43" s="2229"/>
      <c r="V43" s="2229"/>
      <c r="W43" s="2229"/>
      <c r="X43" s="2229"/>
      <c r="Y43" s="2229"/>
      <c r="Z43" s="2229"/>
      <c r="AA43" s="2229"/>
      <c r="AB43" s="2229"/>
      <c r="AC43" s="2229"/>
      <c r="AD43" s="2229"/>
      <c r="AE43" s="2229"/>
      <c r="AF43" s="2229"/>
      <c r="AG43" s="2229"/>
      <c r="AH43" s="2229"/>
      <c r="AI43" s="2229"/>
      <c r="AJ43" s="2229"/>
      <c r="AK43" s="2229"/>
      <c r="AL43" s="2213"/>
      <c r="AM43" s="2214"/>
      <c r="AN43" s="2214"/>
      <c r="AO43" s="2215"/>
      <c r="AP43" s="2213"/>
      <c r="AQ43" s="2214"/>
      <c r="AR43" s="2215"/>
      <c r="AS43" s="2216">
        <f t="shared" si="2"/>
        <v>0</v>
      </c>
      <c r="AT43" s="2217"/>
      <c r="AU43" s="2217"/>
      <c r="AV43" s="2217"/>
      <c r="AW43" s="2217"/>
      <c r="AX43" s="2218"/>
      <c r="AY43" s="2219">
        <f t="shared" si="3"/>
        <v>0</v>
      </c>
      <c r="AZ43" s="2220"/>
      <c r="BA43" s="2220"/>
      <c r="BB43" s="2220"/>
      <c r="BC43" s="2220"/>
      <c r="BD43" s="2221"/>
      <c r="BE43" s="1193"/>
    </row>
    <row r="44" spans="1:58" ht="15.75" customHeight="1">
      <c r="A44" s="1189"/>
      <c r="B44" s="2168" t="s">
        <v>2413</v>
      </c>
      <c r="C44" s="2169"/>
      <c r="D44" s="2169"/>
      <c r="E44" s="2169"/>
      <c r="F44" s="2169"/>
      <c r="G44" s="2169"/>
      <c r="H44" s="2169"/>
      <c r="I44" s="2169"/>
      <c r="J44" s="2228"/>
      <c r="K44" s="2228"/>
      <c r="L44" s="2228"/>
      <c r="M44" s="2228"/>
      <c r="N44" s="2228"/>
      <c r="O44" s="2228"/>
      <c r="P44" s="2228"/>
      <c r="Q44" s="2228"/>
      <c r="R44" s="2229"/>
      <c r="S44" s="2229"/>
      <c r="T44" s="2229"/>
      <c r="U44" s="2229"/>
      <c r="V44" s="2229"/>
      <c r="W44" s="2229"/>
      <c r="X44" s="2229"/>
      <c r="Y44" s="2229"/>
      <c r="Z44" s="2229"/>
      <c r="AA44" s="2229"/>
      <c r="AB44" s="2229"/>
      <c r="AC44" s="2229"/>
      <c r="AD44" s="2229"/>
      <c r="AE44" s="2229"/>
      <c r="AF44" s="2229"/>
      <c r="AG44" s="2229"/>
      <c r="AH44" s="2229"/>
      <c r="AI44" s="2229"/>
      <c r="AJ44" s="2229"/>
      <c r="AK44" s="2229"/>
      <c r="AL44" s="2213"/>
      <c r="AM44" s="2214"/>
      <c r="AN44" s="2214"/>
      <c r="AO44" s="2215"/>
      <c r="AP44" s="2213"/>
      <c r="AQ44" s="2214"/>
      <c r="AR44" s="2215"/>
      <c r="AS44" s="2216">
        <f t="shared" si="2"/>
        <v>0</v>
      </c>
      <c r="AT44" s="2217"/>
      <c r="AU44" s="2217"/>
      <c r="AV44" s="2217"/>
      <c r="AW44" s="2217"/>
      <c r="AX44" s="2218"/>
      <c r="AY44" s="2219">
        <f t="shared" si="3"/>
        <v>0</v>
      </c>
      <c r="AZ44" s="2220"/>
      <c r="BA44" s="2220"/>
      <c r="BB44" s="2220"/>
      <c r="BC44" s="2220"/>
      <c r="BD44" s="2221"/>
      <c r="BE44" s="1193"/>
    </row>
    <row r="45" spans="1:58" ht="15.75" customHeight="1">
      <c r="A45" s="1189"/>
      <c r="B45" s="2168" t="s">
        <v>2412</v>
      </c>
      <c r="C45" s="2169"/>
      <c r="D45" s="2169"/>
      <c r="E45" s="2169"/>
      <c r="F45" s="2169"/>
      <c r="G45" s="2169"/>
      <c r="H45" s="2169"/>
      <c r="I45" s="2169"/>
      <c r="J45" s="2228"/>
      <c r="K45" s="2228"/>
      <c r="L45" s="2228"/>
      <c r="M45" s="2228"/>
      <c r="N45" s="2228"/>
      <c r="O45" s="2228"/>
      <c r="P45" s="2228"/>
      <c r="Q45" s="2228"/>
      <c r="R45" s="2229"/>
      <c r="S45" s="2229"/>
      <c r="T45" s="2229"/>
      <c r="U45" s="2229"/>
      <c r="V45" s="2229"/>
      <c r="W45" s="2229"/>
      <c r="X45" s="2229"/>
      <c r="Y45" s="2229"/>
      <c r="Z45" s="2229"/>
      <c r="AA45" s="2229"/>
      <c r="AB45" s="2229"/>
      <c r="AC45" s="2229"/>
      <c r="AD45" s="2229"/>
      <c r="AE45" s="2229"/>
      <c r="AF45" s="2229"/>
      <c r="AG45" s="2229"/>
      <c r="AH45" s="2229"/>
      <c r="AI45" s="2229"/>
      <c r="AJ45" s="2229"/>
      <c r="AK45" s="2229"/>
      <c r="AL45" s="2213"/>
      <c r="AM45" s="2214"/>
      <c r="AN45" s="2214"/>
      <c r="AO45" s="2215"/>
      <c r="AP45" s="2213"/>
      <c r="AQ45" s="2214"/>
      <c r="AR45" s="2215"/>
      <c r="AS45" s="2216">
        <f t="shared" si="2"/>
        <v>0</v>
      </c>
      <c r="AT45" s="2217"/>
      <c r="AU45" s="2217"/>
      <c r="AV45" s="2217"/>
      <c r="AW45" s="2217"/>
      <c r="AX45" s="2218"/>
      <c r="AY45" s="2219">
        <f t="shared" si="3"/>
        <v>0</v>
      </c>
      <c r="AZ45" s="2220"/>
      <c r="BA45" s="2220"/>
      <c r="BB45" s="2220"/>
      <c r="BC45" s="2220"/>
      <c r="BD45" s="2221"/>
      <c r="BE45" s="1193"/>
    </row>
    <row r="46" spans="1:58" ht="15.75" customHeight="1">
      <c r="A46" s="1189"/>
      <c r="B46" s="2168" t="s">
        <v>2336</v>
      </c>
      <c r="C46" s="2169"/>
      <c r="D46" s="2169"/>
      <c r="E46" s="2169"/>
      <c r="F46" s="2169"/>
      <c r="G46" s="2169"/>
      <c r="H46" s="2169"/>
      <c r="I46" s="2169"/>
      <c r="J46" s="2228"/>
      <c r="K46" s="2228"/>
      <c r="L46" s="2228"/>
      <c r="M46" s="2228"/>
      <c r="N46" s="2228">
        <v>99</v>
      </c>
      <c r="O46" s="2228"/>
      <c r="P46" s="2228"/>
      <c r="Q46" s="2228"/>
      <c r="R46" s="2229"/>
      <c r="S46" s="2229"/>
      <c r="T46" s="2229"/>
      <c r="U46" s="2229"/>
      <c r="V46" s="2229"/>
      <c r="W46" s="2229"/>
      <c r="X46" s="2229"/>
      <c r="Y46" s="2229"/>
      <c r="Z46" s="2229"/>
      <c r="AA46" s="2229"/>
      <c r="AB46" s="2229"/>
      <c r="AC46" s="2229"/>
      <c r="AD46" s="2229"/>
      <c r="AE46" s="2229"/>
      <c r="AF46" s="2229"/>
      <c r="AG46" s="2229"/>
      <c r="AH46" s="2229"/>
      <c r="AI46" s="2229"/>
      <c r="AJ46" s="2229"/>
      <c r="AK46" s="2229"/>
      <c r="AL46" s="2213"/>
      <c r="AM46" s="2214"/>
      <c r="AN46" s="2214"/>
      <c r="AO46" s="2215"/>
      <c r="AP46" s="2213"/>
      <c r="AQ46" s="2214"/>
      <c r="AR46" s="2215"/>
      <c r="AS46" s="2216">
        <f t="shared" si="2"/>
        <v>0</v>
      </c>
      <c r="AT46" s="2217"/>
      <c r="AU46" s="2217"/>
      <c r="AV46" s="2217"/>
      <c r="AW46" s="2217"/>
      <c r="AX46" s="2218"/>
      <c r="AY46" s="2219">
        <f t="shared" si="3"/>
        <v>0</v>
      </c>
      <c r="AZ46" s="2220"/>
      <c r="BA46" s="2220"/>
      <c r="BB46" s="2220"/>
      <c r="BC46" s="2220"/>
      <c r="BD46" s="2221"/>
      <c r="BE46" s="1193"/>
    </row>
    <row r="47" spans="1:58" ht="15.75" customHeight="1" thickBot="1">
      <c r="A47" s="1189"/>
      <c r="B47" s="2222" t="s">
        <v>300</v>
      </c>
      <c r="C47" s="2223"/>
      <c r="D47" s="2223"/>
      <c r="E47" s="2223"/>
      <c r="F47" s="2223"/>
      <c r="G47" s="2223"/>
      <c r="H47" s="2223"/>
      <c r="I47" s="2223"/>
      <c r="J47" s="2224"/>
      <c r="K47" s="2224"/>
      <c r="L47" s="2224"/>
      <c r="M47" s="2224"/>
      <c r="N47" s="2224"/>
      <c r="O47" s="2224"/>
      <c r="P47" s="2224"/>
      <c r="Q47" s="2224"/>
      <c r="R47" s="2209"/>
      <c r="S47" s="2209"/>
      <c r="T47" s="2209"/>
      <c r="U47" s="2209"/>
      <c r="V47" s="2209"/>
      <c r="W47" s="2209"/>
      <c r="X47" s="2209"/>
      <c r="Y47" s="2209"/>
      <c r="Z47" s="2209"/>
      <c r="AA47" s="2209"/>
      <c r="AB47" s="2209"/>
      <c r="AC47" s="2209"/>
      <c r="AD47" s="2209"/>
      <c r="AE47" s="2209"/>
      <c r="AF47" s="2209"/>
      <c r="AG47" s="2209"/>
      <c r="AH47" s="2209"/>
      <c r="AI47" s="2209"/>
      <c r="AJ47" s="2209"/>
      <c r="AK47" s="2209"/>
      <c r="AL47" s="2210"/>
      <c r="AM47" s="2211"/>
      <c r="AN47" s="2211"/>
      <c r="AO47" s="2212"/>
      <c r="AP47" s="2210"/>
      <c r="AQ47" s="2211"/>
      <c r="AR47" s="2212"/>
      <c r="AS47" s="2216">
        <f t="shared" si="2"/>
        <v>0</v>
      </c>
      <c r="AT47" s="2217"/>
      <c r="AU47" s="2217"/>
      <c r="AV47" s="2217"/>
      <c r="AW47" s="2217"/>
      <c r="AX47" s="2218"/>
      <c r="AY47" s="2225">
        <f t="shared" si="3"/>
        <v>0</v>
      </c>
      <c r="AZ47" s="2226"/>
      <c r="BA47" s="2226"/>
      <c r="BB47" s="2226"/>
      <c r="BC47" s="2226"/>
      <c r="BD47" s="2227"/>
      <c r="BE47" s="1193"/>
    </row>
    <row r="48" spans="1:58" ht="15.75" customHeight="1">
      <c r="A48" s="1189"/>
      <c r="B48" s="1195" t="s">
        <v>2411</v>
      </c>
      <c r="C48" s="1189"/>
      <c r="D48" s="1189"/>
      <c r="E48" s="1189"/>
      <c r="F48" s="1189"/>
      <c r="G48" s="1189"/>
      <c r="H48" s="1189"/>
      <c r="I48" s="1189"/>
      <c r="J48" s="1189"/>
      <c r="K48" s="1189"/>
      <c r="L48" s="1189"/>
      <c r="M48" s="1189"/>
      <c r="N48" s="1189"/>
      <c r="O48" s="1189"/>
      <c r="P48" s="1189"/>
      <c r="Q48" s="1189"/>
      <c r="R48" s="1189"/>
      <c r="S48" s="1189"/>
      <c r="T48" s="1189"/>
      <c r="U48" s="1189"/>
      <c r="V48" s="1189"/>
      <c r="W48" s="1189"/>
      <c r="X48" s="1189"/>
      <c r="Y48" s="1189"/>
      <c r="Z48" s="1189"/>
      <c r="AA48" s="1189"/>
      <c r="AB48" s="1189"/>
      <c r="AC48" s="1189"/>
      <c r="AD48" s="1189"/>
      <c r="AE48" s="1189"/>
      <c r="AF48" s="1189"/>
      <c r="AG48" s="1189"/>
      <c r="AH48" s="1189"/>
      <c r="AI48" s="1189"/>
      <c r="AJ48" s="1189"/>
      <c r="AK48" s="1189"/>
      <c r="AL48" s="1189"/>
      <c r="AM48" s="1189"/>
      <c r="AN48" s="1189"/>
      <c r="AO48" s="1189"/>
      <c r="AP48" s="1189"/>
      <c r="AQ48" s="1189"/>
      <c r="AR48" s="1189"/>
      <c r="AS48" s="1189"/>
      <c r="AT48" s="1189"/>
      <c r="AU48" s="1189"/>
      <c r="AV48" s="1189"/>
      <c r="AW48" s="1189"/>
      <c r="AX48" s="1189"/>
      <c r="AY48" s="1189"/>
      <c r="AZ48" s="1189"/>
      <c r="BA48" s="1189"/>
      <c r="BB48" s="1189"/>
      <c r="BC48" s="1189"/>
      <c r="BD48" s="1189"/>
      <c r="BE48" s="1193"/>
      <c r="BF48" s="1187"/>
    </row>
    <row r="49" spans="1:77" ht="15.75" customHeight="1" thickBot="1">
      <c r="A49" s="1189"/>
      <c r="B49" s="1195" t="s">
        <v>2410</v>
      </c>
      <c r="C49" s="1189"/>
      <c r="D49" s="1189"/>
      <c r="E49" s="1189"/>
      <c r="F49" s="1189"/>
      <c r="G49" s="1189"/>
      <c r="H49" s="1189"/>
      <c r="I49" s="1189"/>
      <c r="J49" s="1189"/>
      <c r="K49" s="1189"/>
      <c r="L49" s="1189"/>
      <c r="M49" s="1189"/>
      <c r="N49" s="1189"/>
      <c r="O49" s="1189"/>
      <c r="P49" s="1189"/>
      <c r="Q49" s="1189"/>
      <c r="R49" s="1189"/>
      <c r="S49" s="1189"/>
      <c r="T49" s="1189"/>
      <c r="U49" s="1189"/>
      <c r="V49" s="1189"/>
      <c r="W49" s="1189"/>
      <c r="X49" s="1189"/>
      <c r="Y49" s="1189"/>
      <c r="Z49" s="1189"/>
      <c r="AA49" s="1189"/>
      <c r="AB49" s="1189"/>
      <c r="AC49" s="1189"/>
      <c r="AD49" s="1189"/>
      <c r="AE49" s="1189"/>
      <c r="AF49" s="1189"/>
      <c r="AG49" s="1189"/>
      <c r="AH49" s="1189"/>
      <c r="AI49" s="1189"/>
      <c r="AJ49" s="1189"/>
      <c r="AK49" s="1189"/>
      <c r="AL49" s="1189"/>
      <c r="AM49" s="1189"/>
      <c r="AN49" s="1189"/>
      <c r="AO49" s="1189"/>
      <c r="AP49" s="1191"/>
      <c r="AQ49" s="1191"/>
      <c r="AR49" s="1191"/>
      <c r="AS49" s="1191"/>
      <c r="AT49" s="1191"/>
      <c r="AU49" s="1191"/>
      <c r="AV49" s="1191"/>
      <c r="AW49" s="1191"/>
      <c r="AX49" s="1189"/>
      <c r="AY49" s="1189"/>
      <c r="AZ49" s="1189"/>
      <c r="BA49" s="1189"/>
      <c r="BB49" s="1189"/>
      <c r="BC49" s="1189"/>
      <c r="BD49" s="1189"/>
      <c r="BE49" s="1193"/>
      <c r="BF49" s="1187"/>
    </row>
    <row r="50" spans="1:77" ht="15.75" customHeight="1">
      <c r="A50" s="1189"/>
      <c r="B50" s="2075" t="s">
        <v>2409</v>
      </c>
      <c r="C50" s="2031"/>
      <c r="D50" s="2031"/>
      <c r="E50" s="2031"/>
      <c r="F50" s="2031"/>
      <c r="G50" s="2031"/>
      <c r="H50" s="2031"/>
      <c r="I50" s="2031"/>
      <c r="J50" s="2031"/>
      <c r="K50" s="2031"/>
      <c r="L50" s="2031"/>
      <c r="M50" s="2031"/>
      <c r="N50" s="2031"/>
      <c r="O50" s="2031"/>
      <c r="P50" s="2031"/>
      <c r="Q50" s="2031"/>
      <c r="R50" s="2031"/>
      <c r="S50" s="2031"/>
      <c r="T50" s="2031"/>
      <c r="U50" s="2031"/>
      <c r="V50" s="2031"/>
      <c r="W50" s="2031"/>
      <c r="X50" s="2031"/>
      <c r="Y50" s="2031"/>
      <c r="Z50" s="2031"/>
      <c r="AA50" s="2031"/>
      <c r="AB50" s="2031"/>
      <c r="AC50" s="2031"/>
      <c r="AD50" s="2031"/>
      <c r="AE50" s="2031"/>
      <c r="AF50" s="2031"/>
      <c r="AG50" s="2031"/>
      <c r="AH50" s="2031"/>
      <c r="AI50" s="2031"/>
      <c r="AJ50" s="2031"/>
      <c r="AK50" s="2031"/>
      <c r="AL50" s="2031"/>
      <c r="AM50" s="2031"/>
      <c r="AN50" s="2031"/>
      <c r="AO50" s="2032"/>
      <c r="AP50" s="1191"/>
      <c r="AQ50" s="1191"/>
      <c r="AR50" s="1191"/>
      <c r="AS50" s="1191"/>
      <c r="AT50" s="1191"/>
      <c r="AU50" s="1191"/>
      <c r="AV50" s="1191"/>
      <c r="AW50" s="1191"/>
      <c r="AX50" s="1189"/>
      <c r="AY50" s="1189"/>
      <c r="AZ50" s="1189"/>
      <c r="BA50" s="1189"/>
      <c r="BB50" s="1189"/>
      <c r="BC50" s="1189"/>
      <c r="BD50" s="1189"/>
      <c r="BE50" s="1193"/>
    </row>
    <row r="51" spans="1:77" ht="33.75" customHeight="1">
      <c r="A51" s="1189"/>
      <c r="B51" s="2138" t="s">
        <v>2402</v>
      </c>
      <c r="C51" s="2106"/>
      <c r="D51" s="2106"/>
      <c r="E51" s="2106"/>
      <c r="F51" s="2106"/>
      <c r="G51" s="2106"/>
      <c r="H51" s="2106"/>
      <c r="I51" s="2106"/>
      <c r="J51" s="2106" t="s">
        <v>2408</v>
      </c>
      <c r="K51" s="2106"/>
      <c r="L51" s="2106"/>
      <c r="M51" s="2106"/>
      <c r="N51" s="2106"/>
      <c r="O51" s="2106"/>
      <c r="P51" s="2106"/>
      <c r="Q51" s="2106"/>
      <c r="R51" s="2207" t="s">
        <v>2407</v>
      </c>
      <c r="S51" s="2207"/>
      <c r="T51" s="2207"/>
      <c r="U51" s="2207"/>
      <c r="V51" s="2207"/>
      <c r="W51" s="2207"/>
      <c r="X51" s="2207"/>
      <c r="Y51" s="2207"/>
      <c r="Z51" s="2207" t="s">
        <v>2406</v>
      </c>
      <c r="AA51" s="2207"/>
      <c r="AB51" s="2207"/>
      <c r="AC51" s="2207"/>
      <c r="AD51" s="2207"/>
      <c r="AE51" s="2207"/>
      <c r="AF51" s="2207"/>
      <c r="AG51" s="2207"/>
      <c r="AH51" s="2207" t="s">
        <v>2405</v>
      </c>
      <c r="AI51" s="2207"/>
      <c r="AJ51" s="2207"/>
      <c r="AK51" s="2207"/>
      <c r="AL51" s="2207"/>
      <c r="AM51" s="2207"/>
      <c r="AN51" s="2207"/>
      <c r="AO51" s="2208"/>
      <c r="AP51" s="1191"/>
      <c r="AQ51" s="1191"/>
      <c r="AR51" s="1191"/>
      <c r="AS51" s="1191"/>
      <c r="AT51" s="1191"/>
      <c r="AU51" s="1191"/>
      <c r="AV51" s="1191"/>
      <c r="AW51" s="1191"/>
      <c r="AX51" s="1194"/>
      <c r="AY51" s="1189"/>
      <c r="AZ51" s="1189"/>
      <c r="BA51" s="1189"/>
      <c r="BB51" s="1189"/>
      <c r="BC51" s="1189"/>
      <c r="BD51" s="1189"/>
      <c r="BE51" s="1193"/>
    </row>
    <row r="52" spans="1:77" ht="15.75" customHeight="1">
      <c r="A52" s="1189"/>
      <c r="B52" s="2168" t="s">
        <v>2404</v>
      </c>
      <c r="C52" s="2169"/>
      <c r="D52" s="2169"/>
      <c r="E52" s="2169"/>
      <c r="F52" s="2169"/>
      <c r="G52" s="2169"/>
      <c r="H52" s="2169"/>
      <c r="I52" s="2169"/>
      <c r="J52" s="1992">
        <v>0</v>
      </c>
      <c r="K52" s="1992"/>
      <c r="L52" s="1992"/>
      <c r="M52" s="1992"/>
      <c r="N52" s="1992"/>
      <c r="O52" s="1992"/>
      <c r="P52" s="1992"/>
      <c r="Q52" s="1992"/>
      <c r="R52" s="2199">
        <v>0</v>
      </c>
      <c r="S52" s="2199"/>
      <c r="T52" s="2199"/>
      <c r="U52" s="2199"/>
      <c r="V52" s="2199"/>
      <c r="W52" s="2199"/>
      <c r="X52" s="2199"/>
      <c r="Y52" s="2199"/>
      <c r="Z52" s="2200">
        <v>0</v>
      </c>
      <c r="AA52" s="2200"/>
      <c r="AB52" s="2200"/>
      <c r="AC52" s="2200"/>
      <c r="AD52" s="2200"/>
      <c r="AE52" s="2200"/>
      <c r="AF52" s="2200"/>
      <c r="AG52" s="2200"/>
      <c r="AH52" s="2201"/>
      <c r="AI52" s="2201"/>
      <c r="AJ52" s="2201"/>
      <c r="AK52" s="2201"/>
      <c r="AL52" s="2201"/>
      <c r="AM52" s="2201"/>
      <c r="AN52" s="2201"/>
      <c r="AO52" s="2202"/>
      <c r="AP52" s="1191"/>
      <c r="AQ52" s="1191"/>
      <c r="AR52" s="1191"/>
      <c r="AS52" s="1191"/>
      <c r="AT52" s="1191"/>
      <c r="AU52" s="1191"/>
      <c r="AV52" s="1191"/>
      <c r="AW52" s="1191"/>
      <c r="AX52" s="1194"/>
      <c r="AY52" s="1189"/>
      <c r="AZ52" s="1189"/>
      <c r="BA52" s="1189"/>
      <c r="BB52" s="1189"/>
      <c r="BC52" s="1189"/>
      <c r="BD52" s="1189"/>
      <c r="BE52" s="1193"/>
    </row>
    <row r="53" spans="1:77" ht="15.75" customHeight="1">
      <c r="A53" s="1189"/>
      <c r="B53" s="2168" t="s">
        <v>2403</v>
      </c>
      <c r="C53" s="2169"/>
      <c r="D53" s="2169"/>
      <c r="E53" s="2169"/>
      <c r="F53" s="2169"/>
      <c r="G53" s="2169"/>
      <c r="H53" s="2169"/>
      <c r="I53" s="2169"/>
      <c r="J53" s="1992">
        <v>0</v>
      </c>
      <c r="K53" s="1992"/>
      <c r="L53" s="1992"/>
      <c r="M53" s="1992"/>
      <c r="N53" s="1992"/>
      <c r="O53" s="1992"/>
      <c r="P53" s="1992"/>
      <c r="Q53" s="1992"/>
      <c r="R53" s="2199">
        <v>0</v>
      </c>
      <c r="S53" s="2199"/>
      <c r="T53" s="2199"/>
      <c r="U53" s="2199"/>
      <c r="V53" s="2199"/>
      <c r="W53" s="2199"/>
      <c r="X53" s="2199"/>
      <c r="Y53" s="2199"/>
      <c r="Z53" s="2200">
        <v>0</v>
      </c>
      <c r="AA53" s="2200"/>
      <c r="AB53" s="2200"/>
      <c r="AC53" s="2200"/>
      <c r="AD53" s="2200"/>
      <c r="AE53" s="2200"/>
      <c r="AF53" s="2200"/>
      <c r="AG53" s="2200"/>
      <c r="AH53" s="2201"/>
      <c r="AI53" s="2201"/>
      <c r="AJ53" s="2201"/>
      <c r="AK53" s="2201"/>
      <c r="AL53" s="2201"/>
      <c r="AM53" s="2201"/>
      <c r="AN53" s="2201"/>
      <c r="AO53" s="2202"/>
      <c r="AP53" s="1191"/>
      <c r="AQ53" s="1191"/>
      <c r="AR53" s="1191"/>
      <c r="AS53" s="1191"/>
      <c r="AT53" s="1191"/>
      <c r="AU53" s="1191"/>
      <c r="AV53" s="1191"/>
      <c r="AW53" s="1191"/>
      <c r="AX53" s="1189"/>
      <c r="AY53" s="1189"/>
      <c r="AZ53" s="1189"/>
      <c r="BA53" s="1189"/>
      <c r="BB53" s="1189"/>
      <c r="BC53" s="1189"/>
      <c r="BD53" s="1189"/>
      <c r="BE53" s="1193"/>
    </row>
    <row r="54" spans="1:77" ht="15.75" customHeight="1">
      <c r="A54" s="1189"/>
      <c r="B54" s="2168"/>
      <c r="C54" s="2169"/>
      <c r="D54" s="2169"/>
      <c r="E54" s="2169"/>
      <c r="F54" s="2169"/>
      <c r="G54" s="2169"/>
      <c r="H54" s="2169"/>
      <c r="I54" s="2169"/>
      <c r="J54" s="1992"/>
      <c r="K54" s="1992"/>
      <c r="L54" s="1992"/>
      <c r="M54" s="1992"/>
      <c r="N54" s="1992"/>
      <c r="O54" s="1992"/>
      <c r="P54" s="1992"/>
      <c r="Q54" s="1992"/>
      <c r="R54" s="2199"/>
      <c r="S54" s="2199"/>
      <c r="T54" s="2199"/>
      <c r="U54" s="2199"/>
      <c r="V54" s="2199"/>
      <c r="W54" s="2199"/>
      <c r="X54" s="2199"/>
      <c r="Y54" s="2199"/>
      <c r="Z54" s="2200"/>
      <c r="AA54" s="2200"/>
      <c r="AB54" s="2200"/>
      <c r="AC54" s="2200"/>
      <c r="AD54" s="2200"/>
      <c r="AE54" s="2200"/>
      <c r="AF54" s="2200"/>
      <c r="AG54" s="2200"/>
      <c r="AH54" s="2201"/>
      <c r="AI54" s="2201"/>
      <c r="AJ54" s="2201"/>
      <c r="AK54" s="2201"/>
      <c r="AL54" s="2201"/>
      <c r="AM54" s="2201"/>
      <c r="AN54" s="2201"/>
      <c r="AO54" s="2202"/>
      <c r="AP54" s="1191"/>
      <c r="AQ54" s="1191"/>
      <c r="AR54" s="1191"/>
      <c r="AS54" s="1191"/>
      <c r="AT54" s="1191"/>
      <c r="AU54" s="1191"/>
      <c r="AV54" s="1191"/>
      <c r="AW54" s="1191"/>
      <c r="AX54" s="1189"/>
      <c r="AY54" s="1189"/>
      <c r="AZ54" s="1189"/>
      <c r="BA54" s="1189"/>
      <c r="BB54" s="1189"/>
      <c r="BC54" s="1189"/>
      <c r="BD54" s="1189"/>
      <c r="BE54" s="1193"/>
    </row>
    <row r="55" spans="1:77" ht="15.75" customHeight="1">
      <c r="A55" s="1189"/>
      <c r="B55" s="2168"/>
      <c r="C55" s="2169"/>
      <c r="D55" s="2169"/>
      <c r="E55" s="2169"/>
      <c r="F55" s="2169"/>
      <c r="G55" s="2169"/>
      <c r="H55" s="2169"/>
      <c r="I55" s="2169"/>
      <c r="J55" s="1992"/>
      <c r="K55" s="1992"/>
      <c r="L55" s="1992"/>
      <c r="M55" s="1992"/>
      <c r="N55" s="1992"/>
      <c r="O55" s="1992"/>
      <c r="P55" s="1992"/>
      <c r="Q55" s="1992"/>
      <c r="R55" s="2199"/>
      <c r="S55" s="2199"/>
      <c r="T55" s="2199"/>
      <c r="U55" s="2199"/>
      <c r="V55" s="2199"/>
      <c r="W55" s="2199"/>
      <c r="X55" s="2199"/>
      <c r="Y55" s="2199"/>
      <c r="Z55" s="2200"/>
      <c r="AA55" s="2200"/>
      <c r="AB55" s="2200"/>
      <c r="AC55" s="2200"/>
      <c r="AD55" s="2200"/>
      <c r="AE55" s="2200"/>
      <c r="AF55" s="2200"/>
      <c r="AG55" s="2200"/>
      <c r="AH55" s="2201"/>
      <c r="AI55" s="2201"/>
      <c r="AJ55" s="2201"/>
      <c r="AK55" s="2201"/>
      <c r="AL55" s="2201"/>
      <c r="AM55" s="2201"/>
      <c r="AN55" s="2201"/>
      <c r="AO55" s="2202"/>
      <c r="AP55" s="1191"/>
      <c r="AQ55" s="1191"/>
      <c r="AR55" s="1191"/>
      <c r="AS55" s="1191"/>
      <c r="AT55" s="1191" t="s">
        <v>250</v>
      </c>
      <c r="AU55" s="1191"/>
      <c r="AV55" s="1191"/>
      <c r="AW55" s="1191"/>
      <c r="AX55" s="1189"/>
      <c r="AY55" s="1189"/>
      <c r="AZ55" s="1189"/>
      <c r="BA55" s="1189"/>
      <c r="BB55" s="1189"/>
      <c r="BC55" s="1189"/>
      <c r="BD55" s="1189"/>
      <c r="BE55" s="1193"/>
    </row>
    <row r="56" spans="1:77" ht="15.75" customHeight="1">
      <c r="A56" s="1189"/>
      <c r="B56" s="2168"/>
      <c r="C56" s="2169"/>
      <c r="D56" s="2169"/>
      <c r="E56" s="2169"/>
      <c r="F56" s="2169"/>
      <c r="G56" s="2169"/>
      <c r="H56" s="2169"/>
      <c r="I56" s="2169"/>
      <c r="J56" s="1992"/>
      <c r="K56" s="1992"/>
      <c r="L56" s="1992"/>
      <c r="M56" s="1992"/>
      <c r="N56" s="1992"/>
      <c r="O56" s="1992"/>
      <c r="P56" s="1992"/>
      <c r="Q56" s="1992"/>
      <c r="R56" s="2199"/>
      <c r="S56" s="2199"/>
      <c r="T56" s="2199"/>
      <c r="U56" s="2199"/>
      <c r="V56" s="2199"/>
      <c r="W56" s="2199"/>
      <c r="X56" s="2199"/>
      <c r="Y56" s="2199"/>
      <c r="Z56" s="2200"/>
      <c r="AA56" s="2200"/>
      <c r="AB56" s="2200"/>
      <c r="AC56" s="2200"/>
      <c r="AD56" s="2200"/>
      <c r="AE56" s="2200"/>
      <c r="AF56" s="2200"/>
      <c r="AG56" s="2200"/>
      <c r="AH56" s="2201"/>
      <c r="AI56" s="2201"/>
      <c r="AJ56" s="2201"/>
      <c r="AK56" s="2201"/>
      <c r="AL56" s="2201"/>
      <c r="AM56" s="2201"/>
      <c r="AN56" s="2201"/>
      <c r="AO56" s="2202"/>
      <c r="AP56" s="1191"/>
      <c r="AQ56" s="1191"/>
      <c r="AR56" s="1191"/>
      <c r="AS56" s="1191"/>
      <c r="AT56" s="1191"/>
      <c r="AU56" s="1191"/>
      <c r="AV56" s="1191"/>
      <c r="AW56" s="1191"/>
      <c r="AX56" s="1189"/>
      <c r="AY56" s="1189"/>
      <c r="AZ56" s="1189"/>
      <c r="BA56" s="1189"/>
      <c r="BB56" s="1189"/>
      <c r="BC56" s="1189"/>
      <c r="BD56" s="1189"/>
      <c r="BE56" s="1193"/>
    </row>
    <row r="57" spans="1:77" s="1197" customFormat="1" ht="15.75" customHeight="1" thickBot="1">
      <c r="A57" s="1191"/>
      <c r="B57" s="2136" t="s">
        <v>1585</v>
      </c>
      <c r="C57" s="2137"/>
      <c r="D57" s="2137"/>
      <c r="E57" s="2137"/>
      <c r="F57" s="2137"/>
      <c r="G57" s="2137"/>
      <c r="H57" s="2137"/>
      <c r="I57" s="2137"/>
      <c r="J57" s="2137"/>
      <c r="K57" s="2137"/>
      <c r="L57" s="2137"/>
      <c r="M57" s="2137"/>
      <c r="N57" s="2137"/>
      <c r="O57" s="2137"/>
      <c r="P57" s="2137"/>
      <c r="Q57" s="2137"/>
      <c r="R57" s="2203">
        <f>SUM(R52:Y56)</f>
        <v>0</v>
      </c>
      <c r="S57" s="2203"/>
      <c r="T57" s="2203"/>
      <c r="U57" s="2203"/>
      <c r="V57" s="2203"/>
      <c r="W57" s="2203"/>
      <c r="X57" s="2203"/>
      <c r="Y57" s="2203"/>
      <c r="Z57" s="2204">
        <f>SUM(Z52:AG56)</f>
        <v>0</v>
      </c>
      <c r="AA57" s="2204"/>
      <c r="AB57" s="2204"/>
      <c r="AC57" s="2204"/>
      <c r="AD57" s="2204"/>
      <c r="AE57" s="2204"/>
      <c r="AF57" s="2204"/>
      <c r="AG57" s="2204"/>
      <c r="AH57" s="2205"/>
      <c r="AI57" s="2205"/>
      <c r="AJ57" s="2205"/>
      <c r="AK57" s="2205"/>
      <c r="AL57" s="2205"/>
      <c r="AM57" s="2205"/>
      <c r="AN57" s="2205"/>
      <c r="AO57" s="2206"/>
      <c r="AP57" s="1191"/>
      <c r="AQ57" s="1191"/>
      <c r="AR57" s="1191"/>
      <c r="AS57" s="1191"/>
      <c r="AT57" s="1191"/>
      <c r="AU57" s="1191"/>
      <c r="AV57" s="1191"/>
      <c r="AW57" s="1191"/>
      <c r="AX57" s="1191"/>
      <c r="AY57" s="1191"/>
      <c r="AZ57" s="1191"/>
      <c r="BA57" s="1191"/>
      <c r="BB57" s="1191"/>
      <c r="BC57" s="1191"/>
      <c r="BD57" s="1191"/>
      <c r="BE57" s="1196"/>
      <c r="BN57" s="1256"/>
      <c r="BO57" s="1256"/>
      <c r="BP57" s="1256"/>
      <c r="BQ57" s="1256"/>
      <c r="BR57" s="1256"/>
      <c r="BS57" s="1256"/>
      <c r="BT57" s="1256"/>
      <c r="BU57" s="1256"/>
      <c r="BV57" s="1256"/>
      <c r="BW57" s="1256"/>
      <c r="BX57" s="1256"/>
      <c r="BY57" s="1256"/>
    </row>
    <row r="58" spans="1:77" ht="15.75" customHeight="1" thickBot="1">
      <c r="A58" s="1189"/>
      <c r="B58" s="1189"/>
      <c r="C58" s="1189"/>
      <c r="D58" s="1189"/>
      <c r="E58" s="1189"/>
      <c r="F58" s="1189"/>
      <c r="G58" s="1189"/>
      <c r="H58" s="1189"/>
      <c r="I58" s="1189"/>
      <c r="J58" s="1189"/>
      <c r="K58" s="1189"/>
      <c r="L58" s="1189"/>
      <c r="M58" s="1189"/>
      <c r="N58" s="1189"/>
      <c r="O58" s="1189"/>
      <c r="P58" s="1189"/>
      <c r="Q58" s="1189"/>
      <c r="R58" s="1189"/>
      <c r="S58" s="1189"/>
      <c r="T58" s="1189"/>
      <c r="U58" s="1189"/>
      <c r="V58" s="1189"/>
      <c r="W58" s="1189"/>
      <c r="X58" s="1189"/>
      <c r="Y58" s="1189"/>
      <c r="Z58" s="1189"/>
      <c r="AA58" s="1189"/>
      <c r="AB58" s="1189"/>
      <c r="AC58" s="1189"/>
      <c r="AD58" s="1189"/>
      <c r="AE58" s="1189"/>
      <c r="AF58" s="1189"/>
      <c r="AG58" s="1189"/>
      <c r="AH58" s="1189"/>
      <c r="AI58" s="1189"/>
      <c r="AJ58" s="1189"/>
      <c r="AK58" s="1189"/>
      <c r="AL58" s="1189"/>
      <c r="AM58" s="1189"/>
      <c r="AN58" s="1189"/>
      <c r="AO58" s="1189"/>
      <c r="AP58" s="1189"/>
      <c r="AQ58" s="1189"/>
      <c r="AR58" s="1189"/>
      <c r="AS58" s="1189"/>
      <c r="AT58" s="1189"/>
      <c r="AU58" s="1189"/>
      <c r="AV58" s="1189"/>
      <c r="AW58" s="1189"/>
      <c r="AX58" s="1189"/>
      <c r="AY58" s="1189"/>
      <c r="AZ58" s="1189"/>
      <c r="BA58" s="1189"/>
      <c r="BB58" s="1189"/>
      <c r="BC58" s="1189"/>
      <c r="BD58" s="1189"/>
      <c r="BE58" s="1193"/>
    </row>
    <row r="59" spans="1:77" ht="15.75" customHeight="1">
      <c r="A59" s="1189"/>
      <c r="B59" s="2196" t="s">
        <v>2402</v>
      </c>
      <c r="C59" s="2197"/>
      <c r="D59" s="2197"/>
      <c r="E59" s="2197"/>
      <c r="F59" s="2197"/>
      <c r="G59" s="2197"/>
      <c r="H59" s="2197"/>
      <c r="I59" s="2198"/>
      <c r="J59" s="2104" t="s">
        <v>2401</v>
      </c>
      <c r="K59" s="2104"/>
      <c r="L59" s="2104"/>
      <c r="M59" s="2104"/>
      <c r="N59" s="2104"/>
      <c r="O59" s="2104"/>
      <c r="P59" s="2104"/>
      <c r="Q59" s="2104"/>
      <c r="R59" s="2104"/>
      <c r="S59" s="2104"/>
      <c r="T59" s="2104"/>
      <c r="U59" s="2104"/>
      <c r="V59" s="2104"/>
      <c r="W59" s="2104"/>
      <c r="X59" s="2104"/>
      <c r="Y59" s="2104"/>
      <c r="Z59" s="2104"/>
      <c r="AA59" s="2104"/>
      <c r="AB59" s="2104"/>
      <c r="AC59" s="2104"/>
      <c r="AD59" s="2104"/>
      <c r="AE59" s="2104"/>
      <c r="AF59" s="2104"/>
      <c r="AG59" s="2104"/>
      <c r="AH59" s="2104"/>
      <c r="AI59" s="2104"/>
      <c r="AJ59" s="2104"/>
      <c r="AK59" s="2104"/>
      <c r="AL59" s="2104"/>
      <c r="AM59" s="2104"/>
      <c r="AN59" s="2104"/>
      <c r="AO59" s="2104"/>
      <c r="AP59" s="2104"/>
      <c r="AQ59" s="2104"/>
      <c r="AR59" s="2104"/>
      <c r="AS59" s="2104"/>
      <c r="AT59" s="2104"/>
      <c r="AU59" s="2104"/>
      <c r="AV59" s="2104"/>
      <c r="AW59" s="2105"/>
      <c r="AX59" s="1189"/>
      <c r="AY59" s="1189"/>
      <c r="AZ59" s="1189"/>
      <c r="BA59" s="1189"/>
      <c r="BB59" s="1189"/>
      <c r="BC59" s="1189"/>
      <c r="BD59" s="1189"/>
      <c r="BE59" s="1193"/>
    </row>
    <row r="60" spans="1:77" ht="15.75" customHeight="1">
      <c r="A60" s="1189"/>
      <c r="B60" s="2188" t="str">
        <f>IF(B52="", "", B52)</f>
        <v>Services Company 1</v>
      </c>
      <c r="C60" s="2189"/>
      <c r="D60" s="2189"/>
      <c r="E60" s="2189"/>
      <c r="F60" s="2189"/>
      <c r="G60" s="2189"/>
      <c r="H60" s="2189"/>
      <c r="I60" s="2190"/>
      <c r="J60" s="2191"/>
      <c r="K60" s="1995"/>
      <c r="L60" s="1995"/>
      <c r="M60" s="1995"/>
      <c r="N60" s="1995"/>
      <c r="O60" s="1995"/>
      <c r="P60" s="1995"/>
      <c r="Q60" s="1995"/>
      <c r="R60" s="1995"/>
      <c r="S60" s="1995"/>
      <c r="T60" s="1995"/>
      <c r="U60" s="1995"/>
      <c r="V60" s="1995"/>
      <c r="W60" s="1995"/>
      <c r="X60" s="1995"/>
      <c r="Y60" s="1995"/>
      <c r="Z60" s="1995"/>
      <c r="AA60" s="1995"/>
      <c r="AB60" s="1995"/>
      <c r="AC60" s="1995"/>
      <c r="AD60" s="1995"/>
      <c r="AE60" s="1995"/>
      <c r="AF60" s="1995"/>
      <c r="AG60" s="1995"/>
      <c r="AH60" s="1995"/>
      <c r="AI60" s="1995"/>
      <c r="AJ60" s="1995"/>
      <c r="AK60" s="1995"/>
      <c r="AL60" s="1995"/>
      <c r="AM60" s="1995"/>
      <c r="AN60" s="1995"/>
      <c r="AO60" s="1995"/>
      <c r="AP60" s="1995"/>
      <c r="AQ60" s="1995"/>
      <c r="AR60" s="1995"/>
      <c r="AS60" s="1995"/>
      <c r="AT60" s="1995"/>
      <c r="AU60" s="1995"/>
      <c r="AV60" s="1995"/>
      <c r="AW60" s="1996"/>
      <c r="AX60" s="1189"/>
      <c r="AY60" s="1189"/>
      <c r="AZ60" s="1189"/>
      <c r="BA60" s="1189"/>
      <c r="BB60" s="1189"/>
      <c r="BC60" s="1189"/>
      <c r="BD60" s="1189"/>
      <c r="BE60" s="1193"/>
    </row>
    <row r="61" spans="1:77" ht="15.75" customHeight="1">
      <c r="A61" s="1189"/>
      <c r="B61" s="2188" t="str">
        <f>IF(B53="", "", B53)</f>
        <v>Services Company 2</v>
      </c>
      <c r="C61" s="2189"/>
      <c r="D61" s="2189"/>
      <c r="E61" s="2189"/>
      <c r="F61" s="2189"/>
      <c r="G61" s="2189"/>
      <c r="H61" s="2189"/>
      <c r="I61" s="2190"/>
      <c r="J61" s="2191"/>
      <c r="K61" s="1995"/>
      <c r="L61" s="1995"/>
      <c r="M61" s="1995"/>
      <c r="N61" s="1995"/>
      <c r="O61" s="1995"/>
      <c r="P61" s="1995"/>
      <c r="Q61" s="1995"/>
      <c r="R61" s="1995"/>
      <c r="S61" s="1995"/>
      <c r="T61" s="1995"/>
      <c r="U61" s="1995"/>
      <c r="V61" s="1995"/>
      <c r="W61" s="1995"/>
      <c r="X61" s="1995"/>
      <c r="Y61" s="1995"/>
      <c r="Z61" s="1995"/>
      <c r="AA61" s="1995"/>
      <c r="AB61" s="1995"/>
      <c r="AC61" s="1995"/>
      <c r="AD61" s="1995"/>
      <c r="AE61" s="1995"/>
      <c r="AF61" s="1995"/>
      <c r="AG61" s="1995"/>
      <c r="AH61" s="1995"/>
      <c r="AI61" s="1995"/>
      <c r="AJ61" s="1995"/>
      <c r="AK61" s="1995"/>
      <c r="AL61" s="1995"/>
      <c r="AM61" s="1995"/>
      <c r="AN61" s="1995"/>
      <c r="AO61" s="1995"/>
      <c r="AP61" s="1995"/>
      <c r="AQ61" s="1995"/>
      <c r="AR61" s="1995"/>
      <c r="AS61" s="1995"/>
      <c r="AT61" s="1995"/>
      <c r="AU61" s="1995"/>
      <c r="AV61" s="1995"/>
      <c r="AW61" s="1996"/>
      <c r="AX61" s="1189"/>
      <c r="AY61" s="1189"/>
      <c r="AZ61" s="1189"/>
      <c r="BA61" s="1189"/>
      <c r="BB61" s="1189"/>
      <c r="BC61" s="1189"/>
      <c r="BD61" s="1189"/>
      <c r="BE61" s="1193"/>
    </row>
    <row r="62" spans="1:77" ht="15.75" customHeight="1">
      <c r="A62" s="1189"/>
      <c r="B62" s="2188" t="str">
        <f>IF(B54="", "", B54)</f>
        <v/>
      </c>
      <c r="C62" s="2189"/>
      <c r="D62" s="2189"/>
      <c r="E62" s="2189"/>
      <c r="F62" s="2189"/>
      <c r="G62" s="2189"/>
      <c r="H62" s="2189"/>
      <c r="I62" s="2190"/>
      <c r="J62" s="2191"/>
      <c r="K62" s="1995"/>
      <c r="L62" s="1995"/>
      <c r="M62" s="1995"/>
      <c r="N62" s="1995"/>
      <c r="O62" s="1995"/>
      <c r="P62" s="1995"/>
      <c r="Q62" s="1995"/>
      <c r="R62" s="1995"/>
      <c r="S62" s="1995"/>
      <c r="T62" s="1995"/>
      <c r="U62" s="1995"/>
      <c r="V62" s="1995"/>
      <c r="W62" s="1995"/>
      <c r="X62" s="1995"/>
      <c r="Y62" s="1995"/>
      <c r="Z62" s="1995"/>
      <c r="AA62" s="1995"/>
      <c r="AB62" s="1995"/>
      <c r="AC62" s="1995"/>
      <c r="AD62" s="1995"/>
      <c r="AE62" s="1995"/>
      <c r="AF62" s="1995"/>
      <c r="AG62" s="1995"/>
      <c r="AH62" s="1995"/>
      <c r="AI62" s="1995"/>
      <c r="AJ62" s="1995"/>
      <c r="AK62" s="1995"/>
      <c r="AL62" s="1995"/>
      <c r="AM62" s="1995"/>
      <c r="AN62" s="1995"/>
      <c r="AO62" s="1995"/>
      <c r="AP62" s="1995"/>
      <c r="AQ62" s="1995"/>
      <c r="AR62" s="1995"/>
      <c r="AS62" s="1995"/>
      <c r="AT62" s="1995"/>
      <c r="AU62" s="1995"/>
      <c r="AV62" s="1995"/>
      <c r="AW62" s="1996"/>
      <c r="AX62" s="1189"/>
      <c r="AY62" s="1189"/>
      <c r="AZ62" s="1189"/>
      <c r="BA62" s="1189"/>
      <c r="BB62" s="1189"/>
      <c r="BC62" s="1189"/>
      <c r="BD62" s="1189"/>
      <c r="BE62" s="1193"/>
    </row>
    <row r="63" spans="1:77" ht="15.75" customHeight="1">
      <c r="A63" s="1189"/>
      <c r="B63" s="2188" t="str">
        <f>IF(B55="", "", B55)</f>
        <v/>
      </c>
      <c r="C63" s="2189"/>
      <c r="D63" s="2189"/>
      <c r="E63" s="2189"/>
      <c r="F63" s="2189"/>
      <c r="G63" s="2189"/>
      <c r="H63" s="2189"/>
      <c r="I63" s="2190"/>
      <c r="J63" s="2191"/>
      <c r="K63" s="1995"/>
      <c r="L63" s="1995"/>
      <c r="M63" s="1995"/>
      <c r="N63" s="1995"/>
      <c r="O63" s="1995"/>
      <c r="P63" s="1995"/>
      <c r="Q63" s="1995"/>
      <c r="R63" s="1995"/>
      <c r="S63" s="1995"/>
      <c r="T63" s="1995"/>
      <c r="U63" s="1995"/>
      <c r="V63" s="1995"/>
      <c r="W63" s="1995"/>
      <c r="X63" s="1995"/>
      <c r="Y63" s="1995"/>
      <c r="Z63" s="1995"/>
      <c r="AA63" s="1995"/>
      <c r="AB63" s="1995"/>
      <c r="AC63" s="1995"/>
      <c r="AD63" s="1995"/>
      <c r="AE63" s="1995"/>
      <c r="AF63" s="1995"/>
      <c r="AG63" s="1995"/>
      <c r="AH63" s="1995"/>
      <c r="AI63" s="1995"/>
      <c r="AJ63" s="1995"/>
      <c r="AK63" s="1995"/>
      <c r="AL63" s="1995"/>
      <c r="AM63" s="1995"/>
      <c r="AN63" s="1995"/>
      <c r="AO63" s="1995"/>
      <c r="AP63" s="1995"/>
      <c r="AQ63" s="1995"/>
      <c r="AR63" s="1995"/>
      <c r="AS63" s="1995"/>
      <c r="AT63" s="1995"/>
      <c r="AU63" s="1995"/>
      <c r="AV63" s="1995"/>
      <c r="AW63" s="1996"/>
      <c r="AX63" s="1189"/>
      <c r="AY63" s="1189"/>
      <c r="AZ63" s="1189"/>
      <c r="BA63" s="1189"/>
      <c r="BB63" s="1189"/>
      <c r="BC63" s="1189"/>
      <c r="BD63" s="1189"/>
      <c r="BE63" s="1193"/>
    </row>
    <row r="64" spans="1:77" ht="15.75" customHeight="1" thickBot="1">
      <c r="A64" s="1189"/>
      <c r="B64" s="2192" t="str">
        <f>IF(B56="", "", B56)</f>
        <v/>
      </c>
      <c r="C64" s="2193"/>
      <c r="D64" s="2193"/>
      <c r="E64" s="2193"/>
      <c r="F64" s="2193"/>
      <c r="G64" s="2193"/>
      <c r="H64" s="2193"/>
      <c r="I64" s="2194"/>
      <c r="J64" s="2195"/>
      <c r="K64" s="2178"/>
      <c r="L64" s="2178"/>
      <c r="M64" s="2178"/>
      <c r="N64" s="2178"/>
      <c r="O64" s="2178"/>
      <c r="P64" s="2178"/>
      <c r="Q64" s="2178"/>
      <c r="R64" s="2178"/>
      <c r="S64" s="2178"/>
      <c r="T64" s="2178"/>
      <c r="U64" s="2178"/>
      <c r="V64" s="2178"/>
      <c r="W64" s="2178"/>
      <c r="X64" s="2178"/>
      <c r="Y64" s="2178"/>
      <c r="Z64" s="2178"/>
      <c r="AA64" s="2178"/>
      <c r="AB64" s="2178"/>
      <c r="AC64" s="2178"/>
      <c r="AD64" s="2178"/>
      <c r="AE64" s="2178"/>
      <c r="AF64" s="2178"/>
      <c r="AG64" s="2178"/>
      <c r="AH64" s="2178"/>
      <c r="AI64" s="2178"/>
      <c r="AJ64" s="2178"/>
      <c r="AK64" s="2178"/>
      <c r="AL64" s="2178"/>
      <c r="AM64" s="2178"/>
      <c r="AN64" s="2178"/>
      <c r="AO64" s="2178"/>
      <c r="AP64" s="2178"/>
      <c r="AQ64" s="2178"/>
      <c r="AR64" s="2178"/>
      <c r="AS64" s="2178"/>
      <c r="AT64" s="2178"/>
      <c r="AU64" s="2178"/>
      <c r="AV64" s="2178"/>
      <c r="AW64" s="2179"/>
      <c r="AX64" s="1189"/>
      <c r="AY64" s="1189"/>
      <c r="AZ64" s="1189"/>
      <c r="BA64" s="1189"/>
      <c r="BB64" s="1189"/>
      <c r="BC64" s="1189"/>
      <c r="BD64" s="1189"/>
      <c r="BE64" s="1193"/>
    </row>
    <row r="65" spans="1:94" ht="15.75" customHeight="1">
      <c r="A65" s="1189"/>
      <c r="B65" s="1189"/>
      <c r="C65" s="1189"/>
      <c r="D65" s="1189"/>
      <c r="E65" s="1189"/>
      <c r="F65" s="1189"/>
      <c r="G65" s="1189"/>
      <c r="H65" s="1189"/>
      <c r="I65" s="1189"/>
      <c r="J65" s="1189"/>
      <c r="K65" s="1189"/>
      <c r="L65" s="1189"/>
      <c r="M65" s="1189"/>
      <c r="N65" s="1189"/>
      <c r="O65" s="1189"/>
      <c r="P65" s="1189"/>
      <c r="Q65" s="1189"/>
      <c r="R65" s="1189"/>
      <c r="S65" s="1189"/>
      <c r="T65" s="1189"/>
      <c r="U65" s="1189"/>
      <c r="V65" s="1189"/>
      <c r="W65" s="1189"/>
      <c r="X65" s="1189"/>
      <c r="Y65" s="1189"/>
      <c r="Z65" s="1189"/>
      <c r="AA65" s="1189"/>
      <c r="AB65" s="1189"/>
      <c r="AC65" s="1189"/>
      <c r="AD65" s="1189"/>
      <c r="AE65" s="1189"/>
      <c r="AF65" s="1189"/>
      <c r="AG65" s="1189"/>
      <c r="AH65" s="1189"/>
      <c r="AI65" s="1189"/>
      <c r="AJ65" s="1189"/>
      <c r="AK65" s="1189"/>
      <c r="AL65" s="1189"/>
      <c r="AM65" s="1189"/>
      <c r="AN65" s="1189"/>
      <c r="AO65" s="1189"/>
      <c r="AP65" s="1189"/>
      <c r="AQ65" s="1189"/>
      <c r="AR65" s="1189"/>
      <c r="AS65" s="1189"/>
      <c r="AT65" s="1189"/>
      <c r="AU65" s="1189"/>
      <c r="AV65" s="1189"/>
      <c r="AW65" s="1189"/>
      <c r="AX65" s="1189"/>
      <c r="AY65" s="1189"/>
      <c r="AZ65" s="1189"/>
      <c r="BA65" s="1189"/>
      <c r="BB65" s="1189"/>
      <c r="BC65" s="1189"/>
      <c r="BD65" s="1189"/>
      <c r="BE65" s="1193"/>
    </row>
    <row r="66" spans="1:94" ht="15.75" customHeight="1">
      <c r="A66" s="1189"/>
      <c r="B66" s="1197" t="s">
        <v>2400</v>
      </c>
      <c r="C66" s="1197"/>
      <c r="D66" s="1197"/>
      <c r="E66" s="1197"/>
      <c r="F66" s="1197"/>
      <c r="G66" s="1197"/>
      <c r="H66" s="1197"/>
      <c r="I66" s="1197"/>
      <c r="J66" s="1197"/>
      <c r="K66" s="1197"/>
      <c r="L66" s="1189"/>
      <c r="M66" s="1189"/>
      <c r="N66" s="1189"/>
      <c r="O66" s="1189"/>
      <c r="P66" s="1189"/>
      <c r="Q66" s="1189"/>
      <c r="R66" s="1189"/>
      <c r="S66" s="1189"/>
      <c r="T66" s="1189"/>
      <c r="U66" s="1189"/>
      <c r="V66" s="1189"/>
      <c r="W66" s="1189"/>
      <c r="X66" s="1189"/>
      <c r="Y66" s="1189"/>
      <c r="Z66" s="1189"/>
      <c r="AA66" s="1189"/>
      <c r="AB66" s="1189"/>
      <c r="AC66" s="1189"/>
      <c r="AD66" s="1189"/>
      <c r="AE66" s="1189"/>
      <c r="AF66" s="1189"/>
      <c r="AG66" s="1189"/>
      <c r="AH66" s="1189"/>
      <c r="AI66" s="1189"/>
      <c r="AJ66" s="1189"/>
      <c r="AK66" s="1189"/>
      <c r="AL66" s="1189"/>
      <c r="AM66" s="1189"/>
      <c r="AN66" s="1189"/>
      <c r="AO66" s="1189"/>
      <c r="AP66" s="1189"/>
      <c r="AQ66" s="1189"/>
      <c r="AR66" s="1189"/>
      <c r="AS66" s="1189"/>
      <c r="AT66" s="1189"/>
      <c r="AU66" s="1189"/>
      <c r="AV66" s="1189"/>
      <c r="AW66" s="1189"/>
      <c r="AX66" s="1189"/>
      <c r="AY66" s="1189"/>
      <c r="AZ66" s="1189"/>
      <c r="BA66" s="1189"/>
      <c r="BB66" s="1189"/>
      <c r="BC66" s="1189"/>
      <c r="BD66" s="1189"/>
      <c r="BE66" s="1193"/>
    </row>
    <row r="67" spans="1:94" ht="15.75" customHeight="1" thickBot="1">
      <c r="A67" s="1189"/>
      <c r="B67" s="1189"/>
      <c r="C67" s="1189"/>
      <c r="D67" s="1189"/>
      <c r="E67" s="1189"/>
      <c r="F67" s="1189"/>
      <c r="G67" s="1189"/>
      <c r="H67" s="1189"/>
      <c r="I67" s="1189"/>
      <c r="J67" s="1189"/>
      <c r="K67" s="1189"/>
      <c r="L67" s="1189"/>
      <c r="M67" s="1189"/>
      <c r="N67" s="1189"/>
      <c r="O67" s="1189"/>
      <c r="P67" s="1189"/>
      <c r="Q67" s="1189"/>
      <c r="R67" s="1189"/>
      <c r="S67" s="1189"/>
      <c r="T67" s="1189"/>
      <c r="U67" s="1189"/>
      <c r="V67" s="1189"/>
      <c r="W67" s="1189"/>
      <c r="X67" s="1189"/>
      <c r="Y67" s="1189"/>
      <c r="Z67" s="1189"/>
      <c r="AA67" s="1189"/>
      <c r="AB67" s="1189"/>
      <c r="AC67" s="1189"/>
      <c r="AD67" s="1189"/>
      <c r="AE67" s="1189"/>
      <c r="AF67" s="1189"/>
      <c r="AG67" s="1189"/>
      <c r="AH67" s="1189"/>
      <c r="AI67" s="1189"/>
      <c r="AJ67" s="1189"/>
      <c r="AK67" s="1189"/>
      <c r="AL67" s="1189"/>
      <c r="AM67" s="1189"/>
      <c r="AN67" s="1189"/>
      <c r="AO67" s="1189"/>
      <c r="AP67" s="1189"/>
      <c r="AQ67" s="1189"/>
      <c r="AR67" s="1189"/>
      <c r="AS67" s="1189"/>
      <c r="AT67" s="1189"/>
      <c r="AU67" s="1189"/>
      <c r="AV67" s="1189"/>
      <c r="AW67" s="1189"/>
      <c r="AX67" s="1189"/>
      <c r="AY67" s="1189"/>
      <c r="AZ67" s="1189"/>
      <c r="BA67" s="1189"/>
      <c r="BB67" s="1189"/>
      <c r="BC67" s="1189"/>
      <c r="BD67" s="1189"/>
      <c r="BE67" s="1193"/>
    </row>
    <row r="68" spans="1:94" ht="15.75" customHeight="1" thickBot="1">
      <c r="A68" s="1189"/>
      <c r="B68" s="2103" t="s">
        <v>2399</v>
      </c>
      <c r="C68" s="2104"/>
      <c r="D68" s="2104"/>
      <c r="E68" s="2104"/>
      <c r="F68" s="2104"/>
      <c r="G68" s="2104"/>
      <c r="H68" s="2104"/>
      <c r="I68" s="2104"/>
      <c r="J68" s="2104"/>
      <c r="K68" s="2104"/>
      <c r="L68" s="2104"/>
      <c r="M68" s="2104"/>
      <c r="N68" s="2104"/>
      <c r="O68" s="2104"/>
      <c r="P68" s="2104"/>
      <c r="Q68" s="2104"/>
      <c r="R68" s="2104"/>
      <c r="S68" s="2104"/>
      <c r="T68" s="2104"/>
      <c r="U68" s="2104"/>
      <c r="V68" s="2104"/>
      <c r="W68" s="2104"/>
      <c r="X68" s="2104"/>
      <c r="Y68" s="2104"/>
      <c r="Z68" s="2104"/>
      <c r="AA68" s="2105"/>
      <c r="AB68" s="1189"/>
      <c r="AC68" s="2029" t="s">
        <v>2398</v>
      </c>
      <c r="AD68" s="2030"/>
      <c r="AE68" s="2030"/>
      <c r="AF68" s="2030"/>
      <c r="AG68" s="2030"/>
      <c r="AH68" s="2030"/>
      <c r="AI68" s="2030"/>
      <c r="AJ68" s="2030"/>
      <c r="AK68" s="2030"/>
      <c r="AL68" s="2030"/>
      <c r="AM68" s="2030"/>
      <c r="AN68" s="2030"/>
      <c r="AO68" s="2030"/>
      <c r="AP68" s="2030"/>
      <c r="AQ68" s="2030"/>
      <c r="AR68" s="2030"/>
      <c r="AS68" s="2030"/>
      <c r="AT68" s="2030"/>
      <c r="AU68" s="2030"/>
      <c r="AV68" s="2180" t="s">
        <v>669</v>
      </c>
      <c r="AW68" s="2086"/>
      <c r="AX68" s="2086"/>
      <c r="AY68" s="2086"/>
      <c r="AZ68" s="2086"/>
      <c r="BA68" s="2086"/>
      <c r="BB68" s="2086"/>
      <c r="BC68" s="2087"/>
      <c r="BD68" s="1189"/>
      <c r="BE68" s="1193"/>
      <c r="BM68" s="1198" t="s">
        <v>2397</v>
      </c>
    </row>
    <row r="69" spans="1:94" ht="15.75" customHeight="1" thickTop="1" thickBot="1">
      <c r="A69" s="1189"/>
      <c r="B69" s="2181" t="s">
        <v>2396</v>
      </c>
      <c r="C69" s="2182"/>
      <c r="D69" s="2182"/>
      <c r="E69" s="2182"/>
      <c r="F69" s="2182"/>
      <c r="G69" s="2182"/>
      <c r="H69" s="2182"/>
      <c r="I69" s="2182"/>
      <c r="J69" s="2182"/>
      <c r="K69" s="2182"/>
      <c r="L69" s="2182"/>
      <c r="M69" s="2182"/>
      <c r="N69" s="2182"/>
      <c r="O69" s="2183" t="s">
        <v>2395</v>
      </c>
      <c r="P69" s="2184"/>
      <c r="Q69" s="2184"/>
      <c r="R69" s="2184"/>
      <c r="S69" s="2184"/>
      <c r="T69" s="2184"/>
      <c r="U69" s="2184"/>
      <c r="V69" s="2184"/>
      <c r="W69" s="2184"/>
      <c r="X69" s="2184"/>
      <c r="Y69" s="2184"/>
      <c r="Z69" s="2184"/>
      <c r="AA69" s="2185"/>
      <c r="AB69" s="1189"/>
      <c r="AC69" s="2186" t="s">
        <v>2394</v>
      </c>
      <c r="AD69" s="2187"/>
      <c r="AE69" s="2187"/>
      <c r="AF69" s="2187"/>
      <c r="AG69" s="2187"/>
      <c r="AH69" s="2187"/>
      <c r="AI69" s="2187"/>
      <c r="AJ69" s="2187"/>
      <c r="AK69" s="2187"/>
      <c r="AL69" s="2187"/>
      <c r="AM69" s="2187"/>
      <c r="AN69" s="2187"/>
      <c r="AO69" s="2187"/>
      <c r="AP69" s="2187"/>
      <c r="AQ69" s="2187"/>
      <c r="AR69" s="2187"/>
      <c r="AS69" s="2187"/>
      <c r="AT69" s="2187"/>
      <c r="AU69" s="2187"/>
      <c r="AV69" s="2180" t="s">
        <v>669</v>
      </c>
      <c r="AW69" s="2086"/>
      <c r="AX69" s="2086"/>
      <c r="AY69" s="2086"/>
      <c r="AZ69" s="2086"/>
      <c r="BA69" s="2086"/>
      <c r="BB69" s="2086"/>
      <c r="BC69" s="2087"/>
      <c r="BD69" s="1189"/>
      <c r="BE69" s="1193"/>
      <c r="BM69" s="1199" t="s">
        <v>545</v>
      </c>
    </row>
    <row r="70" spans="1:94" ht="15.75" customHeight="1">
      <c r="A70" s="1189"/>
      <c r="B70" s="2163" t="s">
        <v>2393</v>
      </c>
      <c r="C70" s="2164"/>
      <c r="D70" s="2164"/>
      <c r="E70" s="2164"/>
      <c r="F70" s="2164"/>
      <c r="G70" s="2164"/>
      <c r="H70" s="2164"/>
      <c r="I70" s="2164"/>
      <c r="J70" s="2164"/>
      <c r="K70" s="2164"/>
      <c r="L70" s="2164"/>
      <c r="M70" s="2164"/>
      <c r="N70" s="2164"/>
      <c r="O70" s="2037">
        <v>0</v>
      </c>
      <c r="P70" s="2037"/>
      <c r="Q70" s="2037"/>
      <c r="R70" s="2037"/>
      <c r="S70" s="2037"/>
      <c r="T70" s="2037"/>
      <c r="U70" s="2037"/>
      <c r="V70" s="2037"/>
      <c r="W70" s="2037"/>
      <c r="X70" s="2037"/>
      <c r="Y70" s="2037"/>
      <c r="Z70" s="2037"/>
      <c r="AA70" s="2165"/>
      <c r="AB70" s="1189"/>
      <c r="AC70" s="2075" t="s">
        <v>2392</v>
      </c>
      <c r="AD70" s="2031"/>
      <c r="AE70" s="2031"/>
      <c r="AF70" s="2174"/>
      <c r="AG70" s="2174"/>
      <c r="AH70" s="2174"/>
      <c r="AI70" s="2174"/>
      <c r="AJ70" s="2174"/>
      <c r="AK70" s="2174"/>
      <c r="AL70" s="2174"/>
      <c r="AM70" s="2174"/>
      <c r="AN70" s="2174"/>
      <c r="AO70" s="2174"/>
      <c r="AP70" s="2174"/>
      <c r="AQ70" s="2174"/>
      <c r="AR70" s="2174"/>
      <c r="AS70" s="2174"/>
      <c r="AT70" s="2174"/>
      <c r="AU70" s="2175"/>
      <c r="AV70" s="1189"/>
      <c r="AW70" s="1189"/>
      <c r="AX70" s="1189"/>
      <c r="AY70" s="1189"/>
      <c r="AZ70" s="1189"/>
      <c r="BA70" s="1189"/>
      <c r="BB70" s="1189"/>
      <c r="BC70" s="1189"/>
      <c r="BD70" s="1189"/>
      <c r="BE70" s="1193"/>
      <c r="BM70" s="1200" t="s">
        <v>669</v>
      </c>
    </row>
    <row r="71" spans="1:94" ht="15.75" customHeight="1" thickBot="1">
      <c r="A71" s="1189"/>
      <c r="B71" s="2163" t="s">
        <v>2391</v>
      </c>
      <c r="C71" s="2164"/>
      <c r="D71" s="2164"/>
      <c r="E71" s="2164"/>
      <c r="F71" s="2164"/>
      <c r="G71" s="2164"/>
      <c r="H71" s="2164"/>
      <c r="I71" s="2164"/>
      <c r="J71" s="2164"/>
      <c r="K71" s="2164"/>
      <c r="L71" s="2164"/>
      <c r="M71" s="2164"/>
      <c r="N71" s="2164"/>
      <c r="O71" s="2037">
        <v>0</v>
      </c>
      <c r="P71" s="2037"/>
      <c r="Q71" s="2037"/>
      <c r="R71" s="2037"/>
      <c r="S71" s="2037"/>
      <c r="T71" s="2037"/>
      <c r="U71" s="2037"/>
      <c r="V71" s="2037"/>
      <c r="W71" s="2037"/>
      <c r="X71" s="2037"/>
      <c r="Y71" s="2037"/>
      <c r="Z71" s="2037"/>
      <c r="AA71" s="2165"/>
      <c r="AB71" s="1189"/>
      <c r="AC71" s="2176" t="s">
        <v>2390</v>
      </c>
      <c r="AD71" s="2177"/>
      <c r="AE71" s="2177"/>
      <c r="AF71" s="2178"/>
      <c r="AG71" s="2178"/>
      <c r="AH71" s="2178"/>
      <c r="AI71" s="2178"/>
      <c r="AJ71" s="2178"/>
      <c r="AK71" s="2178"/>
      <c r="AL71" s="2178"/>
      <c r="AM71" s="2178"/>
      <c r="AN71" s="2178"/>
      <c r="AO71" s="2178"/>
      <c r="AP71" s="2178"/>
      <c r="AQ71" s="2178"/>
      <c r="AR71" s="2178"/>
      <c r="AS71" s="2178"/>
      <c r="AT71" s="2178"/>
      <c r="AU71" s="2179"/>
      <c r="AV71" s="1189"/>
      <c r="AW71" s="1189"/>
      <c r="AX71" s="1189"/>
      <c r="AY71" s="1189"/>
      <c r="AZ71" s="1189"/>
      <c r="BA71" s="1189"/>
      <c r="BB71" s="1189"/>
      <c r="BC71" s="1189"/>
      <c r="BD71" s="1189"/>
      <c r="BE71" s="1193"/>
      <c r="BM71" s="1186" t="s">
        <v>2389</v>
      </c>
    </row>
    <row r="72" spans="1:94" ht="15.75" customHeight="1">
      <c r="A72" s="1189"/>
      <c r="B72" s="2163" t="s">
        <v>2388</v>
      </c>
      <c r="C72" s="2164"/>
      <c r="D72" s="2164"/>
      <c r="E72" s="2164"/>
      <c r="F72" s="2164"/>
      <c r="G72" s="2164"/>
      <c r="H72" s="2164"/>
      <c r="I72" s="2164"/>
      <c r="J72" s="2164"/>
      <c r="K72" s="2164"/>
      <c r="L72" s="2164"/>
      <c r="M72" s="2164"/>
      <c r="N72" s="2164"/>
      <c r="O72" s="2037">
        <v>0</v>
      </c>
      <c r="P72" s="2037"/>
      <c r="Q72" s="2037"/>
      <c r="R72" s="2037"/>
      <c r="S72" s="2037"/>
      <c r="T72" s="2037"/>
      <c r="U72" s="2037"/>
      <c r="V72" s="2037"/>
      <c r="W72" s="2037"/>
      <c r="X72" s="2037"/>
      <c r="Y72" s="2037"/>
      <c r="Z72" s="2037"/>
      <c r="AA72" s="2165"/>
      <c r="AB72" s="1189"/>
      <c r="AC72" s="2166" t="s">
        <v>2387</v>
      </c>
      <c r="AD72" s="2167"/>
      <c r="AE72" s="2167"/>
      <c r="AF72" s="2167"/>
      <c r="AG72" s="2167"/>
      <c r="AH72" s="2167"/>
      <c r="AI72" s="2167"/>
      <c r="AJ72" s="2167"/>
      <c r="AK72" s="2167"/>
      <c r="AL72" s="2167"/>
      <c r="AM72" s="2167"/>
      <c r="AN72" s="2167"/>
      <c r="AO72" s="2167"/>
      <c r="AP72" s="2167"/>
      <c r="AQ72" s="2167"/>
      <c r="AR72" s="2167"/>
      <c r="AS72" s="2167"/>
      <c r="AT72" s="2167"/>
      <c r="AU72" s="2167"/>
      <c r="AV72" s="2031"/>
      <c r="AW72" s="2031"/>
      <c r="AX72" s="2031"/>
      <c r="AY72" s="2031"/>
      <c r="AZ72" s="2031"/>
      <c r="BA72" s="2031"/>
      <c r="BB72" s="2031"/>
      <c r="BC72" s="2032"/>
      <c r="BD72" s="1189"/>
      <c r="BE72" s="1193"/>
    </row>
    <row r="73" spans="1:94" ht="15.75" customHeight="1">
      <c r="A73" s="1189"/>
      <c r="B73" s="2168" t="s">
        <v>2386</v>
      </c>
      <c r="C73" s="2169"/>
      <c r="D73" s="2169"/>
      <c r="E73" s="2169"/>
      <c r="F73" s="2169"/>
      <c r="G73" s="2169"/>
      <c r="H73" s="2169"/>
      <c r="I73" s="2169"/>
      <c r="J73" s="2169"/>
      <c r="K73" s="2169"/>
      <c r="L73" s="2169"/>
      <c r="M73" s="2169"/>
      <c r="N73" s="2169"/>
      <c r="O73" s="2037">
        <v>0</v>
      </c>
      <c r="P73" s="2037"/>
      <c r="Q73" s="2037"/>
      <c r="R73" s="2037"/>
      <c r="S73" s="2037"/>
      <c r="T73" s="2037"/>
      <c r="U73" s="2037"/>
      <c r="V73" s="2037"/>
      <c r="W73" s="2037"/>
      <c r="X73" s="2037"/>
      <c r="Y73" s="2037"/>
      <c r="Z73" s="2037"/>
      <c r="AA73" s="2165"/>
      <c r="AB73" s="1189"/>
      <c r="AC73" s="2046" t="s">
        <v>2331</v>
      </c>
      <c r="AD73" s="2047"/>
      <c r="AE73" s="2047"/>
      <c r="AF73" s="2047"/>
      <c r="AG73" s="2047"/>
      <c r="AH73" s="2047"/>
      <c r="AI73" s="2047"/>
      <c r="AJ73" s="2047"/>
      <c r="AK73" s="2047"/>
      <c r="AL73" s="2047"/>
      <c r="AM73" s="2047"/>
      <c r="AN73" s="2047"/>
      <c r="AO73" s="2047"/>
      <c r="AP73" s="2047"/>
      <c r="AQ73" s="2047"/>
      <c r="AR73" s="2047"/>
      <c r="AS73" s="2047"/>
      <c r="AT73" s="2047"/>
      <c r="AU73" s="2047"/>
      <c r="AV73" s="2047"/>
      <c r="AW73" s="2047"/>
      <c r="AX73" s="2047"/>
      <c r="AY73" s="2047"/>
      <c r="AZ73" s="2047"/>
      <c r="BA73" s="2047"/>
      <c r="BB73" s="2047"/>
      <c r="BC73" s="2048"/>
      <c r="BD73" s="1189"/>
      <c r="BE73" s="1193"/>
      <c r="CK73" s="1187"/>
      <c r="CL73" s="1187"/>
      <c r="CM73" s="1187"/>
      <c r="CN73" s="1187"/>
      <c r="CO73" s="1187"/>
      <c r="CP73" s="1187"/>
    </row>
    <row r="74" spans="1:94" ht="15.75" customHeight="1">
      <c r="A74" s="1189"/>
      <c r="B74" s="1991"/>
      <c r="C74" s="1992"/>
      <c r="D74" s="1992"/>
      <c r="E74" s="1992"/>
      <c r="F74" s="1992"/>
      <c r="G74" s="1992"/>
      <c r="H74" s="1992"/>
      <c r="I74" s="1992"/>
      <c r="J74" s="1992"/>
      <c r="K74" s="1992"/>
      <c r="L74" s="1992"/>
      <c r="M74" s="1992"/>
      <c r="N74" s="1992"/>
      <c r="O74" s="2037"/>
      <c r="P74" s="2037"/>
      <c r="Q74" s="2037"/>
      <c r="R74" s="2037"/>
      <c r="S74" s="2037"/>
      <c r="T74" s="2037"/>
      <c r="U74" s="2037"/>
      <c r="V74" s="2037"/>
      <c r="W74" s="2037"/>
      <c r="X74" s="2037"/>
      <c r="Y74" s="2037"/>
      <c r="Z74" s="2037"/>
      <c r="AA74" s="2165"/>
      <c r="AB74" s="1189"/>
      <c r="AC74" s="2046"/>
      <c r="AD74" s="2047"/>
      <c r="AE74" s="2047"/>
      <c r="AF74" s="2047"/>
      <c r="AG74" s="2047"/>
      <c r="AH74" s="2047"/>
      <c r="AI74" s="2047"/>
      <c r="AJ74" s="2047"/>
      <c r="AK74" s="2047"/>
      <c r="AL74" s="2047"/>
      <c r="AM74" s="2047"/>
      <c r="AN74" s="2047"/>
      <c r="AO74" s="2047"/>
      <c r="AP74" s="2047"/>
      <c r="AQ74" s="2047"/>
      <c r="AR74" s="2047"/>
      <c r="AS74" s="2047"/>
      <c r="AT74" s="2047"/>
      <c r="AU74" s="2047"/>
      <c r="AV74" s="2047"/>
      <c r="AW74" s="2047"/>
      <c r="AX74" s="2047"/>
      <c r="AY74" s="2047"/>
      <c r="AZ74" s="2047"/>
      <c r="BA74" s="2047"/>
      <c r="BB74" s="2047"/>
      <c r="BC74" s="2048"/>
      <c r="BD74" s="1189"/>
      <c r="BE74" s="1193"/>
      <c r="CK74" s="1187"/>
      <c r="CL74" s="1187"/>
      <c r="CM74" s="1187"/>
      <c r="CN74" s="1187"/>
      <c r="CO74" s="1187"/>
      <c r="CP74" s="1187"/>
    </row>
    <row r="75" spans="1:94" ht="15.75" customHeight="1" thickBot="1">
      <c r="A75" s="1189"/>
      <c r="B75" s="2170" t="s">
        <v>124</v>
      </c>
      <c r="C75" s="2171"/>
      <c r="D75" s="2171"/>
      <c r="E75" s="2171"/>
      <c r="F75" s="2171"/>
      <c r="G75" s="2171"/>
      <c r="H75" s="2171"/>
      <c r="I75" s="2171"/>
      <c r="J75" s="2171"/>
      <c r="K75" s="2171"/>
      <c r="L75" s="2171"/>
      <c r="M75" s="2171"/>
      <c r="N75" s="2171"/>
      <c r="O75" s="2172">
        <f>SUM(O70:AA74)</f>
        <v>0</v>
      </c>
      <c r="P75" s="2172"/>
      <c r="Q75" s="2172"/>
      <c r="R75" s="2172"/>
      <c r="S75" s="2172"/>
      <c r="T75" s="2172"/>
      <c r="U75" s="2172"/>
      <c r="V75" s="2172"/>
      <c r="W75" s="2172"/>
      <c r="X75" s="2172"/>
      <c r="Y75" s="2172"/>
      <c r="Z75" s="2172"/>
      <c r="AA75" s="2173"/>
      <c r="AB75" s="1189"/>
      <c r="AC75" s="2046"/>
      <c r="AD75" s="2047"/>
      <c r="AE75" s="2047"/>
      <c r="AF75" s="2047"/>
      <c r="AG75" s="2047"/>
      <c r="AH75" s="2047"/>
      <c r="AI75" s="2047"/>
      <c r="AJ75" s="2047"/>
      <c r="AK75" s="2047"/>
      <c r="AL75" s="2047"/>
      <c r="AM75" s="2047"/>
      <c r="AN75" s="2047"/>
      <c r="AO75" s="2047"/>
      <c r="AP75" s="2047"/>
      <c r="AQ75" s="2047"/>
      <c r="AR75" s="2047"/>
      <c r="AS75" s="2047"/>
      <c r="AT75" s="2047"/>
      <c r="AU75" s="2047"/>
      <c r="AV75" s="2047"/>
      <c r="AW75" s="2047"/>
      <c r="AX75" s="2047"/>
      <c r="AY75" s="2047"/>
      <c r="AZ75" s="2047"/>
      <c r="BA75" s="2047"/>
      <c r="BB75" s="2047"/>
      <c r="BC75" s="2048"/>
      <c r="BD75" s="1189"/>
      <c r="BE75" s="1193"/>
      <c r="CK75" s="1187"/>
      <c r="CL75" s="1187"/>
      <c r="CM75" s="1187"/>
      <c r="CN75" s="1187"/>
      <c r="CO75" s="1187"/>
      <c r="CP75" s="1187"/>
    </row>
    <row r="76" spans="1:94" ht="15.75" customHeight="1">
      <c r="A76" s="1189"/>
      <c r="B76" s="1189"/>
      <c r="C76" s="1189"/>
      <c r="D76" s="1189"/>
      <c r="E76" s="1189"/>
      <c r="F76" s="1189"/>
      <c r="G76" s="1189"/>
      <c r="H76" s="1189"/>
      <c r="I76" s="1189"/>
      <c r="J76" s="1189"/>
      <c r="K76" s="1189"/>
      <c r="L76" s="1189"/>
      <c r="M76" s="1189"/>
      <c r="N76" s="1189"/>
      <c r="O76" s="1189"/>
      <c r="P76" s="1189"/>
      <c r="Q76" s="1189"/>
      <c r="R76" s="1189"/>
      <c r="S76" s="1189"/>
      <c r="T76" s="1189"/>
      <c r="U76" s="1189"/>
      <c r="V76" s="1189"/>
      <c r="W76" s="1189"/>
      <c r="X76" s="1189"/>
      <c r="Y76" s="1189"/>
      <c r="Z76" s="1189"/>
      <c r="AA76" s="1189"/>
      <c r="AB76" s="1189"/>
      <c r="AC76" s="2046"/>
      <c r="AD76" s="2047"/>
      <c r="AE76" s="2047"/>
      <c r="AF76" s="2047"/>
      <c r="AG76" s="2047"/>
      <c r="AH76" s="2047"/>
      <c r="AI76" s="2047"/>
      <c r="AJ76" s="2047"/>
      <c r="AK76" s="2047"/>
      <c r="AL76" s="2047"/>
      <c r="AM76" s="2047"/>
      <c r="AN76" s="2047"/>
      <c r="AO76" s="2047"/>
      <c r="AP76" s="2047"/>
      <c r="AQ76" s="2047"/>
      <c r="AR76" s="2047"/>
      <c r="AS76" s="2047"/>
      <c r="AT76" s="2047"/>
      <c r="AU76" s="2047"/>
      <c r="AV76" s="2047"/>
      <c r="AW76" s="2047"/>
      <c r="AX76" s="2047"/>
      <c r="AY76" s="2047"/>
      <c r="AZ76" s="2047"/>
      <c r="BA76" s="2047"/>
      <c r="BB76" s="2047"/>
      <c r="BC76" s="2048"/>
      <c r="BD76" s="1189"/>
      <c r="BE76" s="1193"/>
      <c r="CK76" s="1187"/>
      <c r="CL76" s="1187"/>
      <c r="CM76" s="1187"/>
      <c r="CN76" s="1187"/>
      <c r="CO76" s="1187"/>
      <c r="CP76" s="1187"/>
    </row>
    <row r="77" spans="1:94" ht="15.75" customHeight="1" thickBot="1">
      <c r="A77" s="1189"/>
      <c r="B77" s="1189"/>
      <c r="C77" s="1189"/>
      <c r="D77" s="1189"/>
      <c r="E77" s="1189"/>
      <c r="F77" s="1189"/>
      <c r="G77" s="1189"/>
      <c r="H77" s="1189"/>
      <c r="I77" s="1189"/>
      <c r="J77" s="1189"/>
      <c r="K77" s="1189"/>
      <c r="L77" s="1189"/>
      <c r="M77" s="1189"/>
      <c r="N77" s="1189"/>
      <c r="O77" s="1189"/>
      <c r="P77" s="1189"/>
      <c r="Q77" s="1189"/>
      <c r="R77" s="1189"/>
      <c r="S77" s="1189"/>
      <c r="T77" s="1189"/>
      <c r="U77" s="1189"/>
      <c r="V77" s="1189"/>
      <c r="W77" s="1189"/>
      <c r="X77" s="1189"/>
      <c r="Y77" s="1189"/>
      <c r="Z77" s="1189"/>
      <c r="AA77" s="1189"/>
      <c r="AB77" s="1189"/>
      <c r="AC77" s="2049"/>
      <c r="AD77" s="2050"/>
      <c r="AE77" s="2050"/>
      <c r="AF77" s="2050"/>
      <c r="AG77" s="2050"/>
      <c r="AH77" s="2050"/>
      <c r="AI77" s="2050"/>
      <c r="AJ77" s="2050"/>
      <c r="AK77" s="2050"/>
      <c r="AL77" s="2050"/>
      <c r="AM77" s="2050"/>
      <c r="AN77" s="2050"/>
      <c r="AO77" s="2050"/>
      <c r="AP77" s="2050"/>
      <c r="AQ77" s="2050"/>
      <c r="AR77" s="2050"/>
      <c r="AS77" s="2050"/>
      <c r="AT77" s="2050"/>
      <c r="AU77" s="2050"/>
      <c r="AV77" s="2050"/>
      <c r="AW77" s="2050"/>
      <c r="AX77" s="2050"/>
      <c r="AY77" s="2050"/>
      <c r="AZ77" s="2050"/>
      <c r="BA77" s="2050"/>
      <c r="BB77" s="2050"/>
      <c r="BC77" s="2051"/>
      <c r="BD77" s="1189"/>
      <c r="BE77" s="1193"/>
      <c r="CK77" s="1187"/>
      <c r="CL77" s="1187"/>
      <c r="CM77" s="1187"/>
      <c r="CN77" s="1187"/>
      <c r="CO77" s="1187"/>
      <c r="CP77" s="1187"/>
    </row>
    <row r="78" spans="1:94" ht="15.75" customHeight="1" thickBot="1">
      <c r="A78" s="1189"/>
      <c r="B78" s="1201" t="s">
        <v>2385</v>
      </c>
      <c r="C78" s="1202"/>
      <c r="D78" s="1203"/>
      <c r="E78" s="1203"/>
      <c r="F78" s="1203"/>
      <c r="G78" s="1203"/>
      <c r="H78" s="1203"/>
      <c r="I78" s="1203"/>
      <c r="J78" s="1203"/>
      <c r="K78" s="1203"/>
      <c r="L78" s="1203"/>
      <c r="M78" s="1203"/>
      <c r="N78" s="1203"/>
      <c r="O78" s="1203"/>
      <c r="P78" s="1203"/>
      <c r="Q78" s="1203"/>
      <c r="R78" s="1203"/>
      <c r="S78" s="1203"/>
      <c r="T78" s="1204"/>
      <c r="U78" s="1189"/>
      <c r="V78" s="1189"/>
      <c r="W78" s="1189"/>
      <c r="X78" s="1189"/>
      <c r="Y78" s="1189"/>
      <c r="Z78" s="1189"/>
      <c r="AA78" s="1189"/>
      <c r="AB78" s="1189"/>
      <c r="AC78" s="1189"/>
      <c r="AD78" s="1189"/>
      <c r="AE78" s="1189"/>
      <c r="AF78" s="1189"/>
      <c r="AG78" s="1189"/>
      <c r="AH78" s="1189"/>
      <c r="AI78" s="1189"/>
      <c r="AJ78" s="1189"/>
      <c r="AK78" s="1189"/>
      <c r="AL78" s="1189"/>
      <c r="AM78" s="1189"/>
      <c r="AN78" s="1189"/>
      <c r="AO78" s="1189"/>
      <c r="AP78" s="1189"/>
      <c r="AQ78" s="1189"/>
      <c r="AR78" s="1189"/>
      <c r="AS78" s="1189"/>
      <c r="AT78" s="1189"/>
      <c r="AU78" s="1189"/>
      <c r="AV78" s="1189"/>
      <c r="AW78" s="1189"/>
      <c r="AX78" s="1189"/>
      <c r="AY78" s="1189"/>
      <c r="AZ78" s="1189"/>
      <c r="BA78" s="1189"/>
      <c r="BB78" s="1189"/>
      <c r="BC78" s="1189"/>
      <c r="BD78" s="1189"/>
      <c r="BE78" s="1193"/>
      <c r="CK78" s="1187"/>
      <c r="CL78" s="1187"/>
      <c r="CM78" s="1187"/>
      <c r="CN78" s="1187"/>
      <c r="CO78" s="1187"/>
      <c r="CP78" s="1187"/>
    </row>
    <row r="79" spans="1:94" ht="15.75" customHeight="1">
      <c r="A79" s="1189"/>
      <c r="B79" s="1201" t="s">
        <v>2284</v>
      </c>
      <c r="C79" s="1205"/>
      <c r="D79" s="1205"/>
      <c r="E79" s="1206"/>
      <c r="F79" s="2148"/>
      <c r="G79" s="2149"/>
      <c r="H79" s="2149"/>
      <c r="I79" s="2149"/>
      <c r="J79" s="2149"/>
      <c r="K79" s="2149"/>
      <c r="L79" s="2149"/>
      <c r="M79" s="2149"/>
      <c r="N79" s="2149"/>
      <c r="O79" s="2149"/>
      <c r="P79" s="2149"/>
      <c r="Q79" s="2149"/>
      <c r="R79" s="2149"/>
      <c r="S79" s="2149"/>
      <c r="T79" s="2150"/>
      <c r="U79" s="1189"/>
      <c r="V79" s="1189"/>
      <c r="W79" s="1189"/>
      <c r="X79" s="1189"/>
      <c r="Y79" s="1189"/>
      <c r="Z79" s="1189"/>
      <c r="AA79" s="1189"/>
      <c r="AB79" s="1189"/>
      <c r="AC79" s="1189"/>
      <c r="AD79" s="1189"/>
      <c r="AE79" s="1189"/>
      <c r="AF79" s="1189"/>
      <c r="AG79" s="1189"/>
      <c r="AH79" s="1189"/>
      <c r="AI79" s="1189"/>
      <c r="AJ79" s="1189"/>
      <c r="AK79" s="1189"/>
      <c r="AL79" s="1189"/>
      <c r="AM79" s="1189"/>
      <c r="AN79" s="1189"/>
      <c r="AO79" s="1189"/>
      <c r="AP79" s="1189"/>
      <c r="AQ79" s="1189"/>
      <c r="AR79" s="1189"/>
      <c r="AS79" s="1189"/>
      <c r="AT79" s="1189"/>
      <c r="AU79" s="1189"/>
      <c r="AV79" s="1189"/>
      <c r="AW79" s="1189"/>
      <c r="AX79" s="1189"/>
      <c r="AY79" s="1189"/>
      <c r="AZ79" s="1189"/>
      <c r="BA79" s="1189"/>
      <c r="BB79" s="1189"/>
      <c r="BC79" s="1189"/>
      <c r="BD79" s="1189"/>
      <c r="BE79" s="1193"/>
      <c r="CK79" s="1187"/>
      <c r="CL79" s="1187"/>
      <c r="CM79" s="1187"/>
      <c r="CN79" s="1187"/>
      <c r="CO79" s="1187"/>
      <c r="CP79" s="1187"/>
    </row>
    <row r="80" spans="1:94" ht="15.75" customHeight="1" thickBot="1">
      <c r="A80" s="1189"/>
      <c r="B80" s="2151" t="s">
        <v>2384</v>
      </c>
      <c r="C80" s="2152"/>
      <c r="D80" s="2152"/>
      <c r="E80" s="2152"/>
      <c r="F80" s="2152"/>
      <c r="G80" s="2152"/>
      <c r="H80" s="2152"/>
      <c r="I80" s="2152"/>
      <c r="J80" s="2152"/>
      <c r="K80" s="2152"/>
      <c r="L80" s="2152"/>
      <c r="M80" s="2152"/>
      <c r="N80" s="2152"/>
      <c r="O80" s="2152"/>
      <c r="P80" s="2152"/>
      <c r="Q80" s="2152"/>
      <c r="R80" s="2154" t="str">
        <f>IFERROR(INDEX(BR96:BR98,MATCH(F79,$BQ$96:$BQ$98,0))/SUM($BR$96:$BR$98),"")</f>
        <v/>
      </c>
      <c r="S80" s="2155"/>
      <c r="T80" s="2156"/>
      <c r="U80" s="1189"/>
      <c r="V80" s="1189"/>
      <c r="W80" s="1189"/>
      <c r="X80" s="1189"/>
      <c r="Y80" s="1189"/>
      <c r="Z80" s="1189"/>
      <c r="AA80" s="1189"/>
      <c r="AB80" s="1189"/>
      <c r="AC80" s="1189"/>
      <c r="AD80" s="1189"/>
      <c r="AE80" s="1189"/>
      <c r="AF80" s="1189"/>
      <c r="AG80" s="1189"/>
      <c r="AH80" s="1189"/>
      <c r="AI80" s="1189"/>
      <c r="AJ80" s="1189"/>
      <c r="AK80" s="1189"/>
      <c r="AL80" s="1189"/>
      <c r="AM80" s="1189"/>
      <c r="AN80" s="1189"/>
      <c r="AO80" s="1189"/>
      <c r="AP80" s="1189"/>
      <c r="AQ80" s="1189"/>
      <c r="AR80" s="1189"/>
      <c r="AS80" s="1189"/>
      <c r="AT80" s="1189"/>
      <c r="AU80" s="1189"/>
      <c r="AV80" s="1189"/>
      <c r="AW80" s="1189"/>
      <c r="AX80" s="1189"/>
      <c r="AY80" s="1189"/>
      <c r="AZ80" s="1189"/>
      <c r="BA80" s="1189"/>
      <c r="BB80" s="1189"/>
      <c r="BC80" s="1189"/>
      <c r="BD80" s="1189"/>
      <c r="BE80" s="1193"/>
      <c r="CK80" s="1187"/>
      <c r="CL80" s="1187"/>
      <c r="CM80" s="1187"/>
      <c r="CN80" s="1187"/>
      <c r="CO80" s="1187"/>
      <c r="CP80" s="1187"/>
    </row>
    <row r="81" spans="1:94" ht="15.75" customHeight="1" thickBot="1">
      <c r="A81" s="1189"/>
      <c r="B81" s="2157" t="s">
        <v>2383</v>
      </c>
      <c r="C81" s="2158"/>
      <c r="D81" s="2158"/>
      <c r="E81" s="2158"/>
      <c r="F81" s="2158"/>
      <c r="G81" s="2158"/>
      <c r="H81" s="2158"/>
      <c r="I81" s="2158"/>
      <c r="J81" s="2158"/>
      <c r="K81" s="2158"/>
      <c r="L81" s="2158"/>
      <c r="M81" s="2158"/>
      <c r="N81" s="2158"/>
      <c r="O81" s="2158"/>
      <c r="P81" s="2158"/>
      <c r="Q81" s="2158"/>
      <c r="R81" s="2139" t="s">
        <v>2188</v>
      </c>
      <c r="S81" s="2140"/>
      <c r="T81" s="2141"/>
      <c r="U81" s="1189"/>
      <c r="V81" s="1189"/>
      <c r="W81" s="1189"/>
      <c r="X81" s="1189"/>
      <c r="Y81" s="1189"/>
      <c r="Z81" s="1189"/>
      <c r="AA81" s="1189"/>
      <c r="AB81" s="1189"/>
      <c r="AC81" s="1189"/>
      <c r="AD81" s="1189"/>
      <c r="AE81" s="1189"/>
      <c r="AF81" s="1189"/>
      <c r="AG81" s="1189"/>
      <c r="AH81" s="1189"/>
      <c r="AI81" s="1189"/>
      <c r="AJ81" s="1189"/>
      <c r="AK81" s="1189"/>
      <c r="AL81" s="1189"/>
      <c r="AM81" s="1189"/>
      <c r="AN81" s="1189"/>
      <c r="AO81" s="1189"/>
      <c r="AP81" s="1189"/>
      <c r="AQ81" s="1189"/>
      <c r="AR81" s="1189"/>
      <c r="AS81" s="1189"/>
      <c r="AT81" s="1189"/>
      <c r="AU81" s="1189"/>
      <c r="AV81" s="1189"/>
      <c r="AW81" s="1189"/>
      <c r="AX81" s="1189"/>
      <c r="AY81" s="1189"/>
      <c r="AZ81" s="1189"/>
      <c r="BA81" s="1189"/>
      <c r="BB81" s="1189"/>
      <c r="BC81" s="1189"/>
      <c r="BD81" s="1189"/>
      <c r="BE81" s="1193"/>
      <c r="CK81" s="1187"/>
      <c r="CL81" s="1187"/>
      <c r="CM81" s="1187"/>
      <c r="CN81" s="1187"/>
      <c r="CO81" s="1187"/>
      <c r="CP81" s="1187"/>
    </row>
    <row r="82" spans="1:94" ht="15.75" customHeight="1" thickBot="1">
      <c r="A82" s="1189"/>
      <c r="B82" s="1189"/>
      <c r="C82" s="1189"/>
      <c r="D82" s="1189"/>
      <c r="E82" s="1189"/>
      <c r="F82" s="1189"/>
      <c r="G82" s="1189"/>
      <c r="H82" s="1189"/>
      <c r="I82" s="1189"/>
      <c r="J82" s="1189"/>
      <c r="K82" s="1189"/>
      <c r="L82" s="1189"/>
      <c r="M82" s="1189"/>
      <c r="N82" s="1189"/>
      <c r="O82" s="1189"/>
      <c r="P82" s="1189"/>
      <c r="Q82" s="1189"/>
      <c r="R82" s="1189"/>
      <c r="S82" s="1189"/>
      <c r="T82" s="1189"/>
      <c r="U82" s="1189"/>
      <c r="V82" s="1189"/>
      <c r="W82" s="1189"/>
      <c r="X82" s="1189"/>
      <c r="Y82" s="1189"/>
      <c r="Z82" s="1189"/>
      <c r="AA82" s="1189"/>
      <c r="AB82" s="1189"/>
      <c r="AC82" s="1189"/>
      <c r="AD82" s="1189"/>
      <c r="AE82" s="1189"/>
      <c r="AF82" s="1189"/>
      <c r="AG82" s="1189"/>
      <c r="AH82" s="1189"/>
      <c r="AI82" s="1189"/>
      <c r="AJ82" s="1189"/>
      <c r="AK82" s="1189"/>
      <c r="AL82" s="1189"/>
      <c r="AM82" s="1189"/>
      <c r="AN82" s="1189"/>
      <c r="AO82" s="1189"/>
      <c r="AP82" s="1189"/>
      <c r="AQ82" s="1189"/>
      <c r="AR82" s="1189"/>
      <c r="AS82" s="1189"/>
      <c r="AT82" s="1189"/>
      <c r="AU82" s="1189"/>
      <c r="AV82" s="1189"/>
      <c r="AW82" s="1189"/>
      <c r="AX82" s="1189"/>
      <c r="AY82" s="1189"/>
      <c r="AZ82" s="1189"/>
      <c r="BA82" s="1189"/>
      <c r="BB82" s="1189"/>
      <c r="BC82" s="1189"/>
      <c r="BD82" s="1189"/>
      <c r="BE82" s="1193"/>
      <c r="CK82" s="1187"/>
      <c r="CL82" s="1187"/>
      <c r="CM82" s="1187"/>
      <c r="CN82" s="1187"/>
      <c r="CO82" s="1187"/>
      <c r="CP82" s="1187"/>
    </row>
    <row r="83" spans="1:94" ht="15.75" customHeight="1">
      <c r="A83" s="1189"/>
      <c r="B83" s="2160" t="s">
        <v>2382</v>
      </c>
      <c r="C83" s="2161"/>
      <c r="D83" s="2161"/>
      <c r="E83" s="2161"/>
      <c r="F83" s="2161"/>
      <c r="G83" s="2161"/>
      <c r="H83" s="2161"/>
      <c r="I83" s="2161"/>
      <c r="J83" s="2161"/>
      <c r="K83" s="2161"/>
      <c r="L83" s="2161"/>
      <c r="M83" s="2161"/>
      <c r="N83" s="2161"/>
      <c r="O83" s="2161"/>
      <c r="P83" s="2161"/>
      <c r="Q83" s="2161"/>
      <c r="R83" s="2161"/>
      <c r="S83" s="2161"/>
      <c r="T83" s="2161"/>
      <c r="U83" s="2161"/>
      <c r="V83" s="2161"/>
      <c r="W83" s="2161"/>
      <c r="X83" s="2161"/>
      <c r="Y83" s="2161"/>
      <c r="Z83" s="2161"/>
      <c r="AA83" s="2161"/>
      <c r="AB83" s="2161"/>
      <c r="AC83" s="2161"/>
      <c r="AD83" s="2161"/>
      <c r="AE83" s="2161"/>
      <c r="AF83" s="2161"/>
      <c r="AG83" s="2161"/>
      <c r="AH83" s="2162"/>
      <c r="AI83" s="1189"/>
      <c r="AJ83" s="2127" t="s">
        <v>2381</v>
      </c>
      <c r="AK83" s="2128"/>
      <c r="AL83" s="2128"/>
      <c r="AM83" s="2128"/>
      <c r="AN83" s="2128"/>
      <c r="AO83" s="2128"/>
      <c r="AP83" s="2128"/>
      <c r="AQ83" s="2128"/>
      <c r="AR83" s="2128"/>
      <c r="AS83" s="2128"/>
      <c r="AT83" s="2128"/>
      <c r="AU83" s="2128"/>
      <c r="AV83" s="2128"/>
      <c r="AW83" s="2128"/>
      <c r="AX83" s="2128"/>
      <c r="AY83" s="2144" t="s">
        <v>545</v>
      </c>
      <c r="AZ83" s="2144"/>
      <c r="BA83" s="2144"/>
      <c r="BB83" s="2145"/>
      <c r="BC83" s="1189"/>
      <c r="BD83" s="1189"/>
      <c r="BE83" s="1193"/>
      <c r="CK83" s="1187"/>
      <c r="CL83" s="1187"/>
      <c r="CM83" s="1187"/>
      <c r="CN83" s="1187"/>
      <c r="CO83" s="1187"/>
      <c r="CP83" s="1187"/>
    </row>
    <row r="84" spans="1:94" ht="15.75" customHeight="1">
      <c r="A84" s="1189"/>
      <c r="B84" s="2138"/>
      <c r="C84" s="2106"/>
      <c r="D84" s="2106"/>
      <c r="E84" s="2106"/>
      <c r="F84" s="2106"/>
      <c r="G84" s="2106"/>
      <c r="H84" s="2106"/>
      <c r="I84" s="2106" t="s">
        <v>2371</v>
      </c>
      <c r="J84" s="2106"/>
      <c r="K84" s="2106"/>
      <c r="L84" s="2106"/>
      <c r="M84" s="2106"/>
      <c r="N84" s="2106"/>
      <c r="O84" s="2106" t="s">
        <v>2347</v>
      </c>
      <c r="P84" s="2106"/>
      <c r="Q84" s="2106"/>
      <c r="R84" s="2106"/>
      <c r="S84" s="2106"/>
      <c r="T84" s="2106"/>
      <c r="U84" s="2106"/>
      <c r="V84" s="2142" t="s">
        <v>2346</v>
      </c>
      <c r="W84" s="2142"/>
      <c r="X84" s="2142"/>
      <c r="Y84" s="2142"/>
      <c r="Z84" s="2142"/>
      <c r="AA84" s="2142"/>
      <c r="AB84" s="2076" t="s">
        <v>2370</v>
      </c>
      <c r="AC84" s="2076"/>
      <c r="AD84" s="2076"/>
      <c r="AE84" s="2076"/>
      <c r="AF84" s="2076"/>
      <c r="AG84" s="2076"/>
      <c r="AH84" s="2143"/>
      <c r="AI84" s="1189"/>
      <c r="AJ84" s="2130"/>
      <c r="AK84" s="2131"/>
      <c r="AL84" s="2131"/>
      <c r="AM84" s="2131"/>
      <c r="AN84" s="2131"/>
      <c r="AO84" s="2131"/>
      <c r="AP84" s="2131"/>
      <c r="AQ84" s="2131"/>
      <c r="AR84" s="2131"/>
      <c r="AS84" s="2131"/>
      <c r="AT84" s="2131"/>
      <c r="AU84" s="2131"/>
      <c r="AV84" s="2131"/>
      <c r="AW84" s="2131"/>
      <c r="AX84" s="2131"/>
      <c r="AY84" s="2146"/>
      <c r="AZ84" s="2146"/>
      <c r="BA84" s="2146"/>
      <c r="BB84" s="2147"/>
      <c r="BC84" s="1189"/>
      <c r="BD84" s="1189"/>
      <c r="BE84" s="1193"/>
      <c r="CK84" s="1187"/>
      <c r="CL84" s="1187"/>
      <c r="CM84" s="1187"/>
      <c r="CN84" s="1187"/>
      <c r="CO84" s="1187"/>
      <c r="CP84" s="1187"/>
    </row>
    <row r="85" spans="1:94" ht="15.75" customHeight="1">
      <c r="A85" s="1189"/>
      <c r="B85" s="2138"/>
      <c r="C85" s="2106"/>
      <c r="D85" s="2106"/>
      <c r="E85" s="2106"/>
      <c r="F85" s="2106"/>
      <c r="G85" s="2106"/>
      <c r="H85" s="2106"/>
      <c r="I85" s="2106"/>
      <c r="J85" s="2106"/>
      <c r="K85" s="2106"/>
      <c r="L85" s="2106"/>
      <c r="M85" s="2106"/>
      <c r="N85" s="2106"/>
      <c r="O85" s="2106"/>
      <c r="P85" s="2106"/>
      <c r="Q85" s="2106"/>
      <c r="R85" s="2106"/>
      <c r="S85" s="2106"/>
      <c r="T85" s="2106"/>
      <c r="U85" s="2106"/>
      <c r="V85" s="2142"/>
      <c r="W85" s="2142"/>
      <c r="X85" s="2142"/>
      <c r="Y85" s="2142"/>
      <c r="Z85" s="2142"/>
      <c r="AA85" s="2142"/>
      <c r="AB85" s="2076"/>
      <c r="AC85" s="2076"/>
      <c r="AD85" s="2076"/>
      <c r="AE85" s="2076"/>
      <c r="AF85" s="2076"/>
      <c r="AG85" s="2076"/>
      <c r="AH85" s="2143"/>
      <c r="AI85" s="1189"/>
      <c r="AJ85" s="2130"/>
      <c r="AK85" s="2131"/>
      <c r="AL85" s="2131"/>
      <c r="AM85" s="2131"/>
      <c r="AN85" s="2131"/>
      <c r="AO85" s="2131"/>
      <c r="AP85" s="2131"/>
      <c r="AQ85" s="2131"/>
      <c r="AR85" s="2131"/>
      <c r="AS85" s="2131"/>
      <c r="AT85" s="2131"/>
      <c r="AU85" s="2131"/>
      <c r="AV85" s="2131"/>
      <c r="AW85" s="2131"/>
      <c r="AX85" s="2131"/>
      <c r="AY85" s="2146"/>
      <c r="AZ85" s="2146"/>
      <c r="BA85" s="2146"/>
      <c r="BB85" s="2147"/>
      <c r="BC85" s="1189"/>
      <c r="BD85" s="1189"/>
      <c r="BE85" s="1193"/>
      <c r="CK85" s="1187"/>
      <c r="CL85" s="1187"/>
      <c r="CM85" s="1187"/>
      <c r="CN85" s="1187"/>
      <c r="CO85" s="1187"/>
      <c r="CP85" s="1187"/>
    </row>
    <row r="86" spans="1:94" ht="15.75" customHeight="1">
      <c r="A86" s="1189"/>
      <c r="B86" s="2138" t="s">
        <v>2369</v>
      </c>
      <c r="C86" s="2106"/>
      <c r="D86" s="2106"/>
      <c r="E86" s="2106"/>
      <c r="F86" s="2106"/>
      <c r="G86" s="2106"/>
      <c r="H86" s="2106"/>
      <c r="I86" s="2079">
        <v>0</v>
      </c>
      <c r="J86" s="2079"/>
      <c r="K86" s="2079"/>
      <c r="L86" s="2079"/>
      <c r="M86" s="2079"/>
      <c r="N86" s="2079"/>
      <c r="O86" s="2079">
        <v>0</v>
      </c>
      <c r="P86" s="2079"/>
      <c r="Q86" s="2079"/>
      <c r="R86" s="2079"/>
      <c r="S86" s="2079"/>
      <c r="T86" s="2079"/>
      <c r="U86" s="2079"/>
      <c r="V86" s="2079">
        <v>0</v>
      </c>
      <c r="W86" s="2079"/>
      <c r="X86" s="2079"/>
      <c r="Y86" s="2079"/>
      <c r="Z86" s="2079"/>
      <c r="AA86" s="2079"/>
      <c r="AB86" s="2079">
        <v>0</v>
      </c>
      <c r="AC86" s="2079"/>
      <c r="AD86" s="2079"/>
      <c r="AE86" s="2079"/>
      <c r="AF86" s="2079"/>
      <c r="AG86" s="2079"/>
      <c r="AH86" s="2080"/>
      <c r="AI86" s="1189"/>
      <c r="AJ86" s="2130"/>
      <c r="AK86" s="2131"/>
      <c r="AL86" s="2131"/>
      <c r="AM86" s="2131"/>
      <c r="AN86" s="2131"/>
      <c r="AO86" s="2131"/>
      <c r="AP86" s="2131"/>
      <c r="AQ86" s="2131"/>
      <c r="AR86" s="2131"/>
      <c r="AS86" s="2131"/>
      <c r="AT86" s="2131"/>
      <c r="AU86" s="2131"/>
      <c r="AV86" s="2131"/>
      <c r="AW86" s="2131"/>
      <c r="AX86" s="2131"/>
      <c r="AY86" s="2146"/>
      <c r="AZ86" s="2146"/>
      <c r="BA86" s="2146"/>
      <c r="BB86" s="2147"/>
      <c r="BC86" s="1189"/>
      <c r="BD86" s="1189"/>
      <c r="BE86" s="1193"/>
      <c r="CK86" s="1187"/>
      <c r="CL86" s="1187"/>
      <c r="CM86" s="1187"/>
      <c r="CN86" s="1187"/>
      <c r="CO86" s="1187"/>
      <c r="CP86" s="1187"/>
    </row>
    <row r="87" spans="1:94" ht="15.75" customHeight="1">
      <c r="A87" s="1189"/>
      <c r="B87" s="2138" t="s">
        <v>2368</v>
      </c>
      <c r="C87" s="2106"/>
      <c r="D87" s="2106"/>
      <c r="E87" s="2106"/>
      <c r="F87" s="2106"/>
      <c r="G87" s="2106"/>
      <c r="H87" s="2106"/>
      <c r="I87" s="2079">
        <v>0</v>
      </c>
      <c r="J87" s="2079"/>
      <c r="K87" s="2079"/>
      <c r="L87" s="2079"/>
      <c r="M87" s="2079"/>
      <c r="N87" s="2079"/>
      <c r="O87" s="2079">
        <v>0</v>
      </c>
      <c r="P87" s="2079"/>
      <c r="Q87" s="2079"/>
      <c r="R87" s="2079"/>
      <c r="S87" s="2079"/>
      <c r="T87" s="2079"/>
      <c r="U87" s="2079"/>
      <c r="V87" s="2079">
        <v>0</v>
      </c>
      <c r="W87" s="2079"/>
      <c r="X87" s="2079"/>
      <c r="Y87" s="2079"/>
      <c r="Z87" s="2079"/>
      <c r="AA87" s="2079"/>
      <c r="AB87" s="2079">
        <v>0</v>
      </c>
      <c r="AC87" s="2079"/>
      <c r="AD87" s="2079"/>
      <c r="AE87" s="2079"/>
      <c r="AF87" s="2079"/>
      <c r="AG87" s="2079"/>
      <c r="AH87" s="2080"/>
      <c r="AI87" s="1189"/>
      <c r="AJ87" s="2046" t="s">
        <v>2375</v>
      </c>
      <c r="AK87" s="2047"/>
      <c r="AL87" s="2047"/>
      <c r="AM87" s="2047"/>
      <c r="AN87" s="2047"/>
      <c r="AO87" s="2047"/>
      <c r="AP87" s="2047"/>
      <c r="AQ87" s="2047"/>
      <c r="AR87" s="2047"/>
      <c r="AS87" s="2047"/>
      <c r="AT87" s="2047"/>
      <c r="AU87" s="2047"/>
      <c r="AV87" s="2047"/>
      <c r="AW87" s="2047"/>
      <c r="AX87" s="2047"/>
      <c r="AY87" s="2047"/>
      <c r="AZ87" s="2047"/>
      <c r="BA87" s="2047"/>
      <c r="BB87" s="2048"/>
      <c r="BC87" s="1189"/>
      <c r="BD87" s="1189"/>
      <c r="BE87" s="1193"/>
      <c r="CK87" s="1187"/>
      <c r="CL87" s="1187"/>
      <c r="CM87" s="1187"/>
      <c r="CN87" s="1187"/>
      <c r="CO87" s="1187"/>
      <c r="CP87" s="1187"/>
    </row>
    <row r="88" spans="1:94" ht="15.75" customHeight="1" thickBot="1">
      <c r="A88" s="1189"/>
      <c r="B88" s="2136" t="s">
        <v>2367</v>
      </c>
      <c r="C88" s="2137"/>
      <c r="D88" s="2137"/>
      <c r="E88" s="2137"/>
      <c r="F88" s="2137"/>
      <c r="G88" s="2137"/>
      <c r="H88" s="2137"/>
      <c r="I88" s="2073">
        <v>0</v>
      </c>
      <c r="J88" s="2073"/>
      <c r="K88" s="2073"/>
      <c r="L88" s="2073"/>
      <c r="M88" s="2073"/>
      <c r="N88" s="2073"/>
      <c r="O88" s="2073">
        <v>0</v>
      </c>
      <c r="P88" s="2073"/>
      <c r="Q88" s="2073"/>
      <c r="R88" s="2073"/>
      <c r="S88" s="2073"/>
      <c r="T88" s="2073"/>
      <c r="U88" s="2073"/>
      <c r="V88" s="2073">
        <v>0</v>
      </c>
      <c r="W88" s="2073"/>
      <c r="X88" s="2073"/>
      <c r="Y88" s="2073"/>
      <c r="Z88" s="2073"/>
      <c r="AA88" s="2073"/>
      <c r="AB88" s="2073">
        <v>0</v>
      </c>
      <c r="AC88" s="2073"/>
      <c r="AD88" s="2073"/>
      <c r="AE88" s="2073"/>
      <c r="AF88" s="2073"/>
      <c r="AG88" s="2073"/>
      <c r="AH88" s="2074"/>
      <c r="AI88" s="1189"/>
      <c r="AJ88" s="2049"/>
      <c r="AK88" s="2050"/>
      <c r="AL88" s="2050"/>
      <c r="AM88" s="2050"/>
      <c r="AN88" s="2050"/>
      <c r="AO88" s="2050"/>
      <c r="AP88" s="2050"/>
      <c r="AQ88" s="2050"/>
      <c r="AR88" s="2050"/>
      <c r="AS88" s="2050"/>
      <c r="AT88" s="2050"/>
      <c r="AU88" s="2050"/>
      <c r="AV88" s="2050"/>
      <c r="AW88" s="2050"/>
      <c r="AX88" s="2050"/>
      <c r="AY88" s="2050"/>
      <c r="AZ88" s="2050"/>
      <c r="BA88" s="2050"/>
      <c r="BB88" s="2051"/>
      <c r="BC88" s="1189"/>
      <c r="BD88" s="1189"/>
      <c r="BE88" s="1193"/>
      <c r="CK88" s="1187"/>
      <c r="CL88" s="1187"/>
      <c r="CM88" s="1187"/>
      <c r="CN88" s="1187"/>
      <c r="CO88" s="1187"/>
      <c r="CP88" s="1187"/>
    </row>
    <row r="89" spans="1:94" ht="15.75" customHeight="1">
      <c r="A89" s="1189"/>
      <c r="B89" s="1189"/>
      <c r="C89" s="1189"/>
      <c r="D89" s="1189"/>
      <c r="E89" s="1189"/>
      <c r="F89" s="1189"/>
      <c r="G89" s="1189"/>
      <c r="H89" s="1189"/>
      <c r="I89" s="1189"/>
      <c r="J89" s="1189"/>
      <c r="K89" s="1189"/>
      <c r="L89" s="1189"/>
      <c r="M89" s="1189"/>
      <c r="N89" s="1189"/>
      <c r="O89" s="1189"/>
      <c r="P89" s="1189"/>
      <c r="Q89" s="1189"/>
      <c r="R89" s="1189"/>
      <c r="S89" s="1189"/>
      <c r="T89" s="1189"/>
      <c r="U89" s="1189"/>
      <c r="V89" s="1189"/>
      <c r="W89" s="1189"/>
      <c r="X89" s="1189"/>
      <c r="Y89" s="1189"/>
      <c r="Z89" s="1189"/>
      <c r="AA89" s="1189"/>
      <c r="AB89" s="1189"/>
      <c r="AC89" s="1189"/>
      <c r="AD89" s="1189"/>
      <c r="AE89" s="1189"/>
      <c r="AF89" s="1189"/>
      <c r="AG89" s="1189"/>
      <c r="AH89" s="1189"/>
      <c r="AI89" s="1189"/>
      <c r="AJ89" s="1189"/>
      <c r="AK89" s="1189"/>
      <c r="AL89" s="1189"/>
      <c r="AM89" s="1189"/>
      <c r="AN89" s="1189"/>
      <c r="AO89" s="1189"/>
      <c r="AP89" s="1189"/>
      <c r="AQ89" s="1189"/>
      <c r="AR89" s="1189"/>
      <c r="AS89" s="1189"/>
      <c r="AT89" s="1189"/>
      <c r="AU89" s="1189"/>
      <c r="AV89" s="1189"/>
      <c r="AW89" s="1189"/>
      <c r="AX89" s="1189"/>
      <c r="AY89" s="1189"/>
      <c r="AZ89" s="1189"/>
      <c r="BA89" s="1189"/>
      <c r="BB89" s="1189"/>
      <c r="BC89" s="1189"/>
      <c r="BD89" s="1189"/>
      <c r="BE89" s="1193"/>
      <c r="CM89" s="1187"/>
      <c r="CN89" s="1187"/>
      <c r="CO89" s="1187"/>
      <c r="CP89" s="1187"/>
    </row>
    <row r="90" spans="1:94" ht="15.75" customHeight="1" thickBot="1">
      <c r="A90" s="1189"/>
      <c r="B90" s="1189"/>
      <c r="C90" s="1189"/>
      <c r="D90" s="1189"/>
      <c r="E90" s="1189"/>
      <c r="F90" s="1189"/>
      <c r="G90" s="1189"/>
      <c r="H90" s="1189"/>
      <c r="I90" s="1189"/>
      <c r="J90" s="1189"/>
      <c r="K90" s="1189"/>
      <c r="L90" s="1189"/>
      <c r="M90" s="1189"/>
      <c r="N90" s="1189"/>
      <c r="O90" s="1189"/>
      <c r="P90" s="1189"/>
      <c r="Q90" s="1189"/>
      <c r="R90" s="1189"/>
      <c r="S90" s="1189"/>
      <c r="T90" s="1189"/>
      <c r="U90" s="1189"/>
      <c r="V90" s="1189"/>
      <c r="W90" s="1189"/>
      <c r="X90" s="1189"/>
      <c r="Y90" s="1189"/>
      <c r="Z90" s="1189"/>
      <c r="AA90" s="1189"/>
      <c r="AB90" s="1189"/>
      <c r="AC90" s="1189"/>
      <c r="AD90" s="1189"/>
      <c r="AE90" s="1189"/>
      <c r="AF90" s="1189"/>
      <c r="AG90" s="1189"/>
      <c r="AH90" s="1189"/>
      <c r="AI90" s="1189"/>
      <c r="AJ90" s="1189"/>
      <c r="AK90" s="1189"/>
      <c r="AL90" s="1189"/>
      <c r="AM90" s="1189"/>
      <c r="AN90" s="1189"/>
      <c r="AO90" s="1189"/>
      <c r="AP90" s="1189"/>
      <c r="AQ90" s="1189"/>
      <c r="AR90" s="1189"/>
      <c r="AS90" s="1189"/>
      <c r="AT90" s="1189"/>
      <c r="AU90" s="1189"/>
      <c r="AV90" s="1189"/>
      <c r="AW90" s="1189"/>
      <c r="AX90" s="1189"/>
      <c r="AY90" s="1189"/>
      <c r="AZ90" s="1189"/>
      <c r="BA90" s="1189"/>
      <c r="BB90" s="1189"/>
      <c r="BC90" s="1189"/>
      <c r="BD90" s="1189"/>
      <c r="BE90" s="1193"/>
      <c r="CM90" s="1187"/>
      <c r="CN90" s="1187"/>
      <c r="CO90" s="1187"/>
      <c r="CP90" s="1187"/>
    </row>
    <row r="91" spans="1:94" ht="15.75" customHeight="1" thickBot="1">
      <c r="A91" s="1189"/>
      <c r="B91" s="1201" t="s">
        <v>2380</v>
      </c>
      <c r="C91" s="1207"/>
      <c r="D91" s="1208"/>
      <c r="E91" s="1209"/>
      <c r="F91" s="1209"/>
      <c r="G91" s="1209"/>
      <c r="H91" s="1209"/>
      <c r="I91" s="1209"/>
      <c r="J91" s="1209"/>
      <c r="K91" s="1209"/>
      <c r="L91" s="1209"/>
      <c r="M91" s="1209"/>
      <c r="N91" s="1209"/>
      <c r="O91" s="1209"/>
      <c r="P91" s="1209"/>
      <c r="Q91" s="1209"/>
      <c r="R91" s="1209"/>
      <c r="S91" s="1209"/>
      <c r="T91" s="1210"/>
      <c r="U91" s="1189"/>
      <c r="V91" s="1189"/>
      <c r="W91" s="1189"/>
      <c r="X91" s="1189"/>
      <c r="Y91" s="1189"/>
      <c r="Z91" s="1189"/>
      <c r="AA91" s="1189"/>
      <c r="AB91" s="1189"/>
      <c r="AC91" s="1189"/>
      <c r="AD91" s="1189"/>
      <c r="AE91" s="1189"/>
      <c r="AF91" s="1189"/>
      <c r="AG91" s="1189"/>
      <c r="AH91" s="1189"/>
      <c r="AI91" s="1189"/>
      <c r="AJ91" s="1189"/>
      <c r="AK91" s="1189"/>
      <c r="AL91" s="1189"/>
      <c r="AM91" s="1189"/>
      <c r="AN91" s="1189"/>
      <c r="AO91" s="1189"/>
      <c r="AP91" s="1189"/>
      <c r="AQ91" s="1189"/>
      <c r="AR91" s="1189"/>
      <c r="AS91" s="1189"/>
      <c r="AT91" s="1189"/>
      <c r="AU91" s="1189"/>
      <c r="AV91" s="1189"/>
      <c r="AW91" s="1189"/>
      <c r="AX91" s="1189"/>
      <c r="AY91" s="1189"/>
      <c r="AZ91" s="1189"/>
      <c r="BA91" s="1189"/>
      <c r="BB91" s="1189"/>
      <c r="BC91" s="1189"/>
      <c r="BD91" s="1189"/>
      <c r="BE91" s="1193"/>
      <c r="BQ91" s="1257"/>
      <c r="CM91" s="1187"/>
      <c r="CN91" s="1187"/>
      <c r="CO91" s="1187"/>
      <c r="CP91" s="1187"/>
    </row>
    <row r="92" spans="1:94" ht="15.75" customHeight="1">
      <c r="A92" s="1189"/>
      <c r="B92" s="1211" t="s">
        <v>2284</v>
      </c>
      <c r="C92" s="1211"/>
      <c r="D92" s="1212"/>
      <c r="E92" s="1213"/>
      <c r="F92" s="2148"/>
      <c r="G92" s="2149"/>
      <c r="H92" s="2149"/>
      <c r="I92" s="2149"/>
      <c r="J92" s="2149"/>
      <c r="K92" s="2149"/>
      <c r="L92" s="2149"/>
      <c r="M92" s="2149"/>
      <c r="N92" s="2149"/>
      <c r="O92" s="2149"/>
      <c r="P92" s="2149"/>
      <c r="Q92" s="2149"/>
      <c r="R92" s="2149"/>
      <c r="S92" s="2149"/>
      <c r="T92" s="2150"/>
      <c r="U92" s="1189"/>
      <c r="V92" s="1189"/>
      <c r="W92" s="1189"/>
      <c r="X92" s="1189"/>
      <c r="Y92" s="1189"/>
      <c r="Z92" s="1189"/>
      <c r="AA92" s="1189"/>
      <c r="AB92" s="1189"/>
      <c r="AC92" s="1189"/>
      <c r="AD92" s="1189"/>
      <c r="AE92" s="1189"/>
      <c r="AF92" s="1189"/>
      <c r="AG92" s="1189"/>
      <c r="AH92" s="1189"/>
      <c r="AI92" s="1189"/>
      <c r="AJ92" s="1189"/>
      <c r="AK92" s="1189"/>
      <c r="AL92" s="1189"/>
      <c r="AM92" s="1189"/>
      <c r="AN92" s="1189"/>
      <c r="AO92" s="1189"/>
      <c r="AP92" s="1189"/>
      <c r="AQ92" s="1189"/>
      <c r="AR92" s="1189"/>
      <c r="AS92" s="1189"/>
      <c r="AT92" s="1189"/>
      <c r="AU92" s="1189"/>
      <c r="AV92" s="1189"/>
      <c r="AW92" s="1189"/>
      <c r="AX92" s="1189"/>
      <c r="AY92" s="1189"/>
      <c r="AZ92" s="1189"/>
      <c r="BA92" s="1189"/>
      <c r="BB92" s="1189"/>
      <c r="BC92" s="1189"/>
      <c r="BD92" s="1189"/>
      <c r="BE92" s="1193"/>
      <c r="CM92" s="1187"/>
      <c r="CN92" s="1187"/>
      <c r="CO92" s="1187"/>
      <c r="CP92" s="1187"/>
    </row>
    <row r="93" spans="1:94" ht="15.75" customHeight="1" thickBot="1">
      <c r="A93" s="1189"/>
      <c r="B93" s="2151" t="s">
        <v>2379</v>
      </c>
      <c r="C93" s="2152"/>
      <c r="D93" s="2152"/>
      <c r="E93" s="2152"/>
      <c r="F93" s="2152"/>
      <c r="G93" s="2152"/>
      <c r="H93" s="2152"/>
      <c r="I93" s="2152"/>
      <c r="J93" s="2152"/>
      <c r="K93" s="2152"/>
      <c r="L93" s="2152"/>
      <c r="M93" s="2152"/>
      <c r="N93" s="2152"/>
      <c r="O93" s="2152"/>
      <c r="P93" s="2152"/>
      <c r="Q93" s="2153"/>
      <c r="R93" s="2154" t="str">
        <f>IFERROR(INDEX(BR96:BR98,MATCH(F92,$BQ$96:$BQ$98,0))/SUM($BR$96:$BR$98),"")</f>
        <v/>
      </c>
      <c r="S93" s="2155"/>
      <c r="T93" s="2156"/>
      <c r="U93" s="1189"/>
      <c r="V93" s="1189"/>
      <c r="W93" s="1189"/>
      <c r="X93" s="1189"/>
      <c r="Y93" s="1189"/>
      <c r="Z93" s="1189"/>
      <c r="AA93" s="1189"/>
      <c r="AB93" s="1189"/>
      <c r="AC93" s="1189"/>
      <c r="AD93" s="1189"/>
      <c r="AE93" s="1189"/>
      <c r="AF93" s="1189"/>
      <c r="AG93" s="1189"/>
      <c r="AH93" s="1189"/>
      <c r="AI93" s="1189"/>
      <c r="AJ93" s="1189"/>
      <c r="AK93" s="1189"/>
      <c r="AL93" s="1189"/>
      <c r="AM93" s="1189"/>
      <c r="AN93" s="1189"/>
      <c r="AO93" s="1189"/>
      <c r="AP93" s="1189"/>
      <c r="AQ93" s="1189"/>
      <c r="AR93" s="1189"/>
      <c r="AS93" s="1189"/>
      <c r="AT93" s="1189"/>
      <c r="AU93" s="1189"/>
      <c r="AV93" s="1189"/>
      <c r="AW93" s="1189"/>
      <c r="AX93" s="1189"/>
      <c r="AY93" s="1189"/>
      <c r="AZ93" s="1189"/>
      <c r="BA93" s="1189"/>
      <c r="BB93" s="1189"/>
      <c r="BC93" s="1189"/>
      <c r="BD93" s="1189"/>
      <c r="BE93" s="1193"/>
      <c r="CM93" s="1187"/>
      <c r="CN93" s="1187"/>
      <c r="CO93" s="1187"/>
      <c r="CP93" s="1187"/>
    </row>
    <row r="94" spans="1:94" ht="15.75" customHeight="1" thickBot="1">
      <c r="A94" s="1189"/>
      <c r="B94" s="2157" t="s">
        <v>2378</v>
      </c>
      <c r="C94" s="2158"/>
      <c r="D94" s="2158"/>
      <c r="E94" s="2158"/>
      <c r="F94" s="2158"/>
      <c r="G94" s="2158"/>
      <c r="H94" s="2158"/>
      <c r="I94" s="2158"/>
      <c r="J94" s="2158"/>
      <c r="K94" s="2158"/>
      <c r="L94" s="2158"/>
      <c r="M94" s="2158"/>
      <c r="N94" s="2158"/>
      <c r="O94" s="2158"/>
      <c r="P94" s="2158"/>
      <c r="Q94" s="2159"/>
      <c r="R94" s="2139" t="s">
        <v>2188</v>
      </c>
      <c r="S94" s="2140"/>
      <c r="T94" s="2141"/>
      <c r="U94" s="1189"/>
      <c r="V94" s="1189"/>
      <c r="W94" s="1189"/>
      <c r="X94" s="1189"/>
      <c r="Y94" s="1189"/>
      <c r="Z94" s="1189"/>
      <c r="AA94" s="1189"/>
      <c r="AB94" s="1189"/>
      <c r="AC94" s="1189"/>
      <c r="AD94" s="1189"/>
      <c r="AE94" s="1189"/>
      <c r="AF94" s="1189"/>
      <c r="AG94" s="1189"/>
      <c r="AH94" s="1189"/>
      <c r="AI94" s="1189"/>
      <c r="AJ94" s="1189"/>
      <c r="AK94" s="1189"/>
      <c r="AL94" s="1189"/>
      <c r="AM94" s="1189"/>
      <c r="AN94" s="1189"/>
      <c r="AO94" s="1189"/>
      <c r="AP94" s="1189"/>
      <c r="AQ94" s="1189"/>
      <c r="AR94" s="1189"/>
      <c r="AS94" s="1189"/>
      <c r="AT94" s="1189"/>
      <c r="AU94" s="1189"/>
      <c r="AV94" s="1189"/>
      <c r="AW94" s="1189"/>
      <c r="AX94" s="1189"/>
      <c r="AY94" s="1189"/>
      <c r="AZ94" s="1189"/>
      <c r="BA94" s="1189"/>
      <c r="BB94" s="1189"/>
      <c r="BC94" s="1189"/>
      <c r="BD94" s="1189"/>
      <c r="BE94" s="1193"/>
      <c r="CM94" s="1187"/>
      <c r="CN94" s="1187"/>
      <c r="CO94" s="1187"/>
      <c r="CP94" s="1187"/>
    </row>
    <row r="95" spans="1:94" ht="15.75" customHeight="1" thickBot="1">
      <c r="A95" s="1189"/>
      <c r="B95" s="1189"/>
      <c r="C95" s="1189"/>
      <c r="D95" s="1189"/>
      <c r="E95" s="1189"/>
      <c r="F95" s="1189"/>
      <c r="G95" s="1189"/>
      <c r="H95" s="1189"/>
      <c r="I95" s="1189"/>
      <c r="J95" s="1189"/>
      <c r="K95" s="1189"/>
      <c r="L95" s="1189"/>
      <c r="M95" s="1189"/>
      <c r="N95" s="1189"/>
      <c r="O95" s="1189"/>
      <c r="P95" s="1189"/>
      <c r="Q95" s="1189"/>
      <c r="R95" s="1189"/>
      <c r="S95" s="1189"/>
      <c r="T95" s="1189"/>
      <c r="U95" s="1189"/>
      <c r="V95" s="1189"/>
      <c r="W95" s="1189"/>
      <c r="X95" s="1189"/>
      <c r="Y95" s="1189"/>
      <c r="Z95" s="1189"/>
      <c r="AA95" s="1189"/>
      <c r="AB95" s="1189"/>
      <c r="AC95" s="1189"/>
      <c r="AD95" s="1189"/>
      <c r="AE95" s="1189"/>
      <c r="AF95" s="1189"/>
      <c r="AG95" s="1189"/>
      <c r="AH95" s="1189"/>
      <c r="AI95" s="1189"/>
      <c r="AJ95" s="1189"/>
      <c r="AK95" s="1189"/>
      <c r="AL95" s="1189"/>
      <c r="AM95" s="1189"/>
      <c r="AN95" s="1189"/>
      <c r="AO95" s="1189"/>
      <c r="AP95" s="1189"/>
      <c r="AQ95" s="1189"/>
      <c r="AR95" s="1189"/>
      <c r="AS95" s="1189"/>
      <c r="AT95" s="1189"/>
      <c r="AU95" s="1189"/>
      <c r="AV95" s="1189"/>
      <c r="AW95" s="1189"/>
      <c r="AX95" s="1189"/>
      <c r="AY95" s="1189"/>
      <c r="AZ95" s="1189"/>
      <c r="BA95" s="1189"/>
      <c r="BB95" s="1189"/>
      <c r="BC95" s="1189"/>
      <c r="BD95" s="1189"/>
      <c r="BE95" s="1193"/>
      <c r="CM95" s="1187"/>
      <c r="CN95" s="1187"/>
      <c r="CO95" s="1187"/>
      <c r="CP95" s="1187"/>
    </row>
    <row r="96" spans="1:94" ht="15.75" customHeight="1">
      <c r="A96" s="1189"/>
      <c r="B96" s="2160" t="s">
        <v>2377</v>
      </c>
      <c r="C96" s="2161"/>
      <c r="D96" s="2161"/>
      <c r="E96" s="2161"/>
      <c r="F96" s="2161"/>
      <c r="G96" s="2161"/>
      <c r="H96" s="2161"/>
      <c r="I96" s="2161"/>
      <c r="J96" s="2161"/>
      <c r="K96" s="2161"/>
      <c r="L96" s="2161"/>
      <c r="M96" s="2161"/>
      <c r="N96" s="2161"/>
      <c r="O96" s="2161"/>
      <c r="P96" s="2161"/>
      <c r="Q96" s="2161"/>
      <c r="R96" s="2161"/>
      <c r="S96" s="2161"/>
      <c r="T96" s="2161"/>
      <c r="U96" s="2161"/>
      <c r="V96" s="2161"/>
      <c r="W96" s="2161"/>
      <c r="X96" s="2161"/>
      <c r="Y96" s="2161"/>
      <c r="Z96" s="2161"/>
      <c r="AA96" s="2161"/>
      <c r="AB96" s="2161"/>
      <c r="AC96" s="2161"/>
      <c r="AD96" s="2161"/>
      <c r="AE96" s="2161"/>
      <c r="AF96" s="2161"/>
      <c r="AG96" s="2161"/>
      <c r="AH96" s="2162"/>
      <c r="AI96" s="1189"/>
      <c r="AJ96" s="2127" t="s">
        <v>2376</v>
      </c>
      <c r="AK96" s="2128"/>
      <c r="AL96" s="2128"/>
      <c r="AM96" s="2128"/>
      <c r="AN96" s="2128"/>
      <c r="AO96" s="2128"/>
      <c r="AP96" s="2128"/>
      <c r="AQ96" s="2128"/>
      <c r="AR96" s="2128"/>
      <c r="AS96" s="2128"/>
      <c r="AT96" s="2128"/>
      <c r="AU96" s="2128"/>
      <c r="AV96" s="2128"/>
      <c r="AW96" s="2128"/>
      <c r="AX96" s="2128"/>
      <c r="AY96" s="2144" t="s">
        <v>545</v>
      </c>
      <c r="AZ96" s="2144"/>
      <c r="BA96" s="2144"/>
      <c r="BB96" s="2145"/>
      <c r="BC96" s="1189"/>
      <c r="BD96" s="1189"/>
      <c r="BE96" s="1193"/>
      <c r="BQ96" s="1255" t="str">
        <f>Application!M243&amp;IF(TRIM(Application!AA249)&lt;&gt;""," ("&amp;Application!AA249&amp;")","")</f>
        <v>21010 Vanowen, LLC  (Meta Development, LLC)</v>
      </c>
      <c r="BR96" s="1258">
        <f>Application!AH246</f>
        <v>5.1000000000000004E-3</v>
      </c>
      <c r="CM96" s="1187"/>
      <c r="CN96" s="1187"/>
      <c r="CO96" s="1187"/>
      <c r="CP96" s="1187"/>
    </row>
    <row r="97" spans="1:94" ht="15.75" customHeight="1">
      <c r="A97" s="1189"/>
      <c r="B97" s="2138"/>
      <c r="C97" s="2106"/>
      <c r="D97" s="2106"/>
      <c r="E97" s="2106"/>
      <c r="F97" s="2106"/>
      <c r="G97" s="2106"/>
      <c r="H97" s="2106"/>
      <c r="I97" s="2106" t="s">
        <v>2371</v>
      </c>
      <c r="J97" s="2106"/>
      <c r="K97" s="2106"/>
      <c r="L97" s="2106"/>
      <c r="M97" s="2106"/>
      <c r="N97" s="2106"/>
      <c r="O97" s="2106" t="s">
        <v>2347</v>
      </c>
      <c r="P97" s="2106"/>
      <c r="Q97" s="2106"/>
      <c r="R97" s="2106"/>
      <c r="S97" s="2106"/>
      <c r="T97" s="2106"/>
      <c r="U97" s="2106"/>
      <c r="V97" s="2142" t="s">
        <v>2346</v>
      </c>
      <c r="W97" s="2142"/>
      <c r="X97" s="2142"/>
      <c r="Y97" s="2142"/>
      <c r="Z97" s="2142"/>
      <c r="AA97" s="2142"/>
      <c r="AB97" s="2076" t="s">
        <v>2370</v>
      </c>
      <c r="AC97" s="2076"/>
      <c r="AD97" s="2076"/>
      <c r="AE97" s="2076"/>
      <c r="AF97" s="2076"/>
      <c r="AG97" s="2076"/>
      <c r="AH97" s="2143"/>
      <c r="AI97" s="1189"/>
      <c r="AJ97" s="2130"/>
      <c r="AK97" s="2131"/>
      <c r="AL97" s="2131"/>
      <c r="AM97" s="2131"/>
      <c r="AN97" s="2131"/>
      <c r="AO97" s="2131"/>
      <c r="AP97" s="2131"/>
      <c r="AQ97" s="2131"/>
      <c r="AR97" s="2131"/>
      <c r="AS97" s="2131"/>
      <c r="AT97" s="2131"/>
      <c r="AU97" s="2131"/>
      <c r="AV97" s="2131"/>
      <c r="AW97" s="2131"/>
      <c r="AX97" s="2131"/>
      <c r="AY97" s="2146"/>
      <c r="AZ97" s="2146"/>
      <c r="BA97" s="2146"/>
      <c r="BB97" s="2147"/>
      <c r="BC97" s="1189"/>
      <c r="BD97" s="1189"/>
      <c r="BE97" s="1193"/>
      <c r="BQ97" s="1255" t="str">
        <f>Application!M251&amp;IF(TRIM(Application!AA257)&lt;&gt;""," ("&amp;Application!AA257&amp;")","")</f>
        <v>FFAH II Vanowen St. Apts CA, LLC (Foundation For Affordable Housing II, Inc.)</v>
      </c>
      <c r="BR97" s="1258">
        <f>Application!AH254</f>
        <v>4.8999999999999998E-3</v>
      </c>
      <c r="CM97" s="1187"/>
      <c r="CN97" s="1187"/>
      <c r="CO97" s="1187"/>
      <c r="CP97" s="1187"/>
    </row>
    <row r="98" spans="1:94" ht="15.75" customHeight="1">
      <c r="A98" s="1189"/>
      <c r="B98" s="2138"/>
      <c r="C98" s="2106"/>
      <c r="D98" s="2106"/>
      <c r="E98" s="2106"/>
      <c r="F98" s="2106"/>
      <c r="G98" s="2106"/>
      <c r="H98" s="2106"/>
      <c r="I98" s="2106"/>
      <c r="J98" s="2106"/>
      <c r="K98" s="2106"/>
      <c r="L98" s="2106"/>
      <c r="M98" s="2106"/>
      <c r="N98" s="2106"/>
      <c r="O98" s="2106"/>
      <c r="P98" s="2106"/>
      <c r="Q98" s="2106"/>
      <c r="R98" s="2106"/>
      <c r="S98" s="2106"/>
      <c r="T98" s="2106"/>
      <c r="U98" s="2106"/>
      <c r="V98" s="2142"/>
      <c r="W98" s="2142"/>
      <c r="X98" s="2142"/>
      <c r="Y98" s="2142"/>
      <c r="Z98" s="2142"/>
      <c r="AA98" s="2142"/>
      <c r="AB98" s="2076"/>
      <c r="AC98" s="2076"/>
      <c r="AD98" s="2076"/>
      <c r="AE98" s="2076"/>
      <c r="AF98" s="2076"/>
      <c r="AG98" s="2076"/>
      <c r="AH98" s="2143"/>
      <c r="AI98" s="1189"/>
      <c r="AJ98" s="2130"/>
      <c r="AK98" s="2131"/>
      <c r="AL98" s="2131"/>
      <c r="AM98" s="2131"/>
      <c r="AN98" s="2131"/>
      <c r="AO98" s="2131"/>
      <c r="AP98" s="2131"/>
      <c r="AQ98" s="2131"/>
      <c r="AR98" s="2131"/>
      <c r="AS98" s="2131"/>
      <c r="AT98" s="2131"/>
      <c r="AU98" s="2131"/>
      <c r="AV98" s="2131"/>
      <c r="AW98" s="2131"/>
      <c r="AX98" s="2131"/>
      <c r="AY98" s="2146"/>
      <c r="AZ98" s="2146"/>
      <c r="BA98" s="2146"/>
      <c r="BB98" s="2147"/>
      <c r="BC98" s="1189"/>
      <c r="BD98" s="1189"/>
      <c r="BE98" s="1193"/>
      <c r="BQ98" s="1255" t="str">
        <f>Application!M259&amp;IF(TRIM(Application!AA265)&lt;&gt;""," ("&amp;Application!AA265&amp;")","")</f>
        <v/>
      </c>
      <c r="BR98" s="1258">
        <f>Application!AH262</f>
        <v>0</v>
      </c>
      <c r="CM98" s="1187"/>
      <c r="CN98" s="1187"/>
      <c r="CO98" s="1187"/>
      <c r="CP98" s="1187"/>
    </row>
    <row r="99" spans="1:94" ht="15.75" customHeight="1">
      <c r="A99" s="1189"/>
      <c r="B99" s="2138" t="s">
        <v>2369</v>
      </c>
      <c r="C99" s="2106"/>
      <c r="D99" s="2106"/>
      <c r="E99" s="2106"/>
      <c r="F99" s="2106"/>
      <c r="G99" s="2106"/>
      <c r="H99" s="2106"/>
      <c r="I99" s="2079">
        <v>0</v>
      </c>
      <c r="J99" s="2079"/>
      <c r="K99" s="2079"/>
      <c r="L99" s="2079"/>
      <c r="M99" s="2079"/>
      <c r="N99" s="2079"/>
      <c r="O99" s="2079">
        <v>0</v>
      </c>
      <c r="P99" s="2079"/>
      <c r="Q99" s="2079"/>
      <c r="R99" s="2079"/>
      <c r="S99" s="2079"/>
      <c r="T99" s="2079"/>
      <c r="U99" s="2079"/>
      <c r="V99" s="2079">
        <v>0</v>
      </c>
      <c r="W99" s="2079"/>
      <c r="X99" s="2079"/>
      <c r="Y99" s="2079"/>
      <c r="Z99" s="2079"/>
      <c r="AA99" s="2079"/>
      <c r="AB99" s="2079">
        <v>0</v>
      </c>
      <c r="AC99" s="2079"/>
      <c r="AD99" s="2079"/>
      <c r="AE99" s="2079"/>
      <c r="AF99" s="2079"/>
      <c r="AG99" s="2079"/>
      <c r="AH99" s="2080"/>
      <c r="AI99" s="1189"/>
      <c r="AJ99" s="2130"/>
      <c r="AK99" s="2131"/>
      <c r="AL99" s="2131"/>
      <c r="AM99" s="2131"/>
      <c r="AN99" s="2131"/>
      <c r="AO99" s="2131"/>
      <c r="AP99" s="2131"/>
      <c r="AQ99" s="2131"/>
      <c r="AR99" s="2131"/>
      <c r="AS99" s="2131"/>
      <c r="AT99" s="2131"/>
      <c r="AU99" s="2131"/>
      <c r="AV99" s="2131"/>
      <c r="AW99" s="2131"/>
      <c r="AX99" s="2131"/>
      <c r="AY99" s="2146"/>
      <c r="AZ99" s="2146"/>
      <c r="BA99" s="2146"/>
      <c r="BB99" s="2147"/>
      <c r="BC99" s="1189"/>
      <c r="BD99" s="1189"/>
      <c r="BE99" s="1193"/>
      <c r="CM99" s="1187"/>
      <c r="CN99" s="1187"/>
      <c r="CO99" s="1187"/>
      <c r="CP99" s="1187"/>
    </row>
    <row r="100" spans="1:94" ht="15.75" customHeight="1">
      <c r="A100" s="1189"/>
      <c r="B100" s="2138" t="s">
        <v>2368</v>
      </c>
      <c r="C100" s="2106"/>
      <c r="D100" s="2106"/>
      <c r="E100" s="2106"/>
      <c r="F100" s="2106"/>
      <c r="G100" s="2106"/>
      <c r="H100" s="2106"/>
      <c r="I100" s="2079">
        <v>0</v>
      </c>
      <c r="J100" s="2079"/>
      <c r="K100" s="2079"/>
      <c r="L100" s="2079"/>
      <c r="M100" s="2079"/>
      <c r="N100" s="2079"/>
      <c r="O100" s="2079">
        <v>0</v>
      </c>
      <c r="P100" s="2079"/>
      <c r="Q100" s="2079"/>
      <c r="R100" s="2079"/>
      <c r="S100" s="2079"/>
      <c r="T100" s="2079"/>
      <c r="U100" s="2079"/>
      <c r="V100" s="2079">
        <v>0</v>
      </c>
      <c r="W100" s="2079"/>
      <c r="X100" s="2079"/>
      <c r="Y100" s="2079"/>
      <c r="Z100" s="2079"/>
      <c r="AA100" s="2079"/>
      <c r="AB100" s="2079">
        <v>0</v>
      </c>
      <c r="AC100" s="2079"/>
      <c r="AD100" s="2079"/>
      <c r="AE100" s="2079"/>
      <c r="AF100" s="2079"/>
      <c r="AG100" s="2079"/>
      <c r="AH100" s="2080"/>
      <c r="AI100" s="1189"/>
      <c r="AJ100" s="2046" t="s">
        <v>2375</v>
      </c>
      <c r="AK100" s="2047"/>
      <c r="AL100" s="2047"/>
      <c r="AM100" s="2047"/>
      <c r="AN100" s="2047"/>
      <c r="AO100" s="2047"/>
      <c r="AP100" s="2047"/>
      <c r="AQ100" s="2047"/>
      <c r="AR100" s="2047"/>
      <c r="AS100" s="2047"/>
      <c r="AT100" s="2047"/>
      <c r="AU100" s="2047"/>
      <c r="AV100" s="2047"/>
      <c r="AW100" s="2047"/>
      <c r="AX100" s="2047"/>
      <c r="AY100" s="2047"/>
      <c r="AZ100" s="2047"/>
      <c r="BA100" s="2047"/>
      <c r="BB100" s="2048"/>
      <c r="BC100" s="1189"/>
      <c r="BD100" s="1189"/>
      <c r="BE100" s="1193"/>
      <c r="CM100" s="1187"/>
      <c r="CN100" s="1187"/>
      <c r="CO100" s="1187"/>
      <c r="CP100" s="1187"/>
    </row>
    <row r="101" spans="1:94" ht="15.75" customHeight="1" thickBot="1">
      <c r="A101" s="1189"/>
      <c r="B101" s="2136" t="s">
        <v>2367</v>
      </c>
      <c r="C101" s="2137"/>
      <c r="D101" s="2137"/>
      <c r="E101" s="2137"/>
      <c r="F101" s="2137"/>
      <c r="G101" s="2137"/>
      <c r="H101" s="2137"/>
      <c r="I101" s="2073">
        <v>0</v>
      </c>
      <c r="J101" s="2073"/>
      <c r="K101" s="2073"/>
      <c r="L101" s="2073"/>
      <c r="M101" s="2073"/>
      <c r="N101" s="2073"/>
      <c r="O101" s="2073">
        <v>0</v>
      </c>
      <c r="P101" s="2073"/>
      <c r="Q101" s="2073"/>
      <c r="R101" s="2073"/>
      <c r="S101" s="2073"/>
      <c r="T101" s="2073"/>
      <c r="U101" s="2073"/>
      <c r="V101" s="2073">
        <v>0</v>
      </c>
      <c r="W101" s="2073"/>
      <c r="X101" s="2073"/>
      <c r="Y101" s="2073"/>
      <c r="Z101" s="2073"/>
      <c r="AA101" s="2073"/>
      <c r="AB101" s="2073">
        <v>0</v>
      </c>
      <c r="AC101" s="2073"/>
      <c r="AD101" s="2073"/>
      <c r="AE101" s="2073"/>
      <c r="AF101" s="2073"/>
      <c r="AG101" s="2073"/>
      <c r="AH101" s="2074"/>
      <c r="AI101" s="1189"/>
      <c r="AJ101" s="2049"/>
      <c r="AK101" s="2050"/>
      <c r="AL101" s="2050"/>
      <c r="AM101" s="2050"/>
      <c r="AN101" s="2050"/>
      <c r="AO101" s="2050"/>
      <c r="AP101" s="2050"/>
      <c r="AQ101" s="2050"/>
      <c r="AR101" s="2050"/>
      <c r="AS101" s="2050"/>
      <c r="AT101" s="2050"/>
      <c r="AU101" s="2050"/>
      <c r="AV101" s="2050"/>
      <c r="AW101" s="2050"/>
      <c r="AX101" s="2050"/>
      <c r="AY101" s="2050"/>
      <c r="AZ101" s="2050"/>
      <c r="BA101" s="2050"/>
      <c r="BB101" s="2051"/>
      <c r="BC101" s="1189"/>
      <c r="BD101" s="1189"/>
      <c r="BE101" s="1193"/>
      <c r="BQ101" s="1255" t="str">
        <f>Application!AA335</f>
        <v xml:space="preserve">Solari Enterprises, Inc. </v>
      </c>
      <c r="CM101" s="1187"/>
      <c r="CN101" s="1187"/>
      <c r="CO101" s="1187"/>
      <c r="CP101" s="1187"/>
    </row>
    <row r="102" spans="1:94" ht="15.75" customHeight="1" thickBot="1">
      <c r="A102" s="1189"/>
      <c r="B102" s="1189"/>
      <c r="C102" s="1189"/>
      <c r="D102" s="1189"/>
      <c r="E102" s="1189"/>
      <c r="F102" s="1189"/>
      <c r="G102" s="1189"/>
      <c r="H102" s="1189"/>
      <c r="I102" s="1189"/>
      <c r="J102" s="1189"/>
      <c r="K102" s="1189"/>
      <c r="L102" s="1189"/>
      <c r="M102" s="1189"/>
      <c r="N102" s="1189"/>
      <c r="O102" s="1189"/>
      <c r="P102" s="1189"/>
      <c r="Q102" s="1189"/>
      <c r="R102" s="1189"/>
      <c r="S102" s="1189"/>
      <c r="T102" s="1189"/>
      <c r="U102" s="1189"/>
      <c r="V102" s="1189"/>
      <c r="W102" s="1189"/>
      <c r="X102" s="1189"/>
      <c r="Y102" s="1189"/>
      <c r="Z102" s="1189"/>
      <c r="AA102" s="1189"/>
      <c r="AB102" s="1189"/>
      <c r="AC102" s="1189"/>
      <c r="AD102" s="1189"/>
      <c r="AE102" s="1189"/>
      <c r="AF102" s="1189"/>
      <c r="AG102" s="1189"/>
      <c r="AH102" s="1189"/>
      <c r="AI102" s="1189"/>
      <c r="AJ102" s="1189"/>
      <c r="AK102" s="1189"/>
      <c r="AL102" s="1189"/>
      <c r="AM102" s="1189"/>
      <c r="AN102" s="1189"/>
      <c r="AO102" s="1189"/>
      <c r="AP102" s="1189"/>
      <c r="AQ102" s="1189"/>
      <c r="AR102" s="1189"/>
      <c r="AS102" s="1189"/>
      <c r="AT102" s="1189"/>
      <c r="AU102" s="1189"/>
      <c r="AV102" s="1189"/>
      <c r="AW102" s="1189"/>
      <c r="AX102" s="1189"/>
      <c r="AY102" s="1189"/>
      <c r="AZ102" s="1189"/>
      <c r="BA102" s="1189"/>
      <c r="BB102" s="1189"/>
      <c r="BC102" s="1189"/>
      <c r="BD102" s="1189"/>
      <c r="BE102" s="1193"/>
      <c r="BQ102" s="1255">
        <f>Application!P343</f>
        <v>0</v>
      </c>
      <c r="CM102" s="1187"/>
      <c r="CN102" s="1187"/>
      <c r="CO102" s="1187"/>
      <c r="CP102" s="1187"/>
    </row>
    <row r="103" spans="1:94" ht="15.75" customHeight="1" thickBot="1">
      <c r="A103" s="1189"/>
      <c r="B103" s="1208" t="s">
        <v>2374</v>
      </c>
      <c r="C103" s="1202"/>
      <c r="D103" s="1203"/>
      <c r="E103" s="1203"/>
      <c r="F103" s="1214"/>
      <c r="G103" s="1214"/>
      <c r="H103" s="1214"/>
      <c r="I103" s="1214"/>
      <c r="J103" s="1214"/>
      <c r="K103" s="1214"/>
      <c r="L103" s="1214"/>
      <c r="M103" s="1214"/>
      <c r="N103" s="1214"/>
      <c r="O103" s="1215"/>
      <c r="P103" s="1214"/>
      <c r="Q103" s="1214"/>
      <c r="R103" s="1215"/>
      <c r="S103" s="1189" t="s">
        <v>250</v>
      </c>
      <c r="T103" s="1189"/>
      <c r="U103" s="1189"/>
      <c r="V103" s="1189"/>
      <c r="W103" s="1189"/>
      <c r="X103" s="1189"/>
      <c r="Y103" s="1189"/>
      <c r="Z103" s="1189"/>
      <c r="AA103" s="1189"/>
      <c r="AB103" s="1189"/>
      <c r="AC103" s="1189"/>
      <c r="AD103" s="1189"/>
      <c r="AE103" s="1189"/>
      <c r="AF103" s="1189"/>
      <c r="AG103" s="1189"/>
      <c r="AH103" s="1189"/>
      <c r="AI103" s="1189"/>
      <c r="AJ103" s="1189"/>
      <c r="AK103" s="1189"/>
      <c r="AL103" s="1189"/>
      <c r="AM103" s="1189"/>
      <c r="AN103" s="1189"/>
      <c r="AO103" s="1189"/>
      <c r="AP103" s="1189"/>
      <c r="AQ103" s="1189"/>
      <c r="AR103" s="1189"/>
      <c r="AS103" s="1189"/>
      <c r="AT103" s="1189"/>
      <c r="AU103" s="1189"/>
      <c r="AV103" s="1189"/>
      <c r="AW103" s="1189"/>
      <c r="AX103" s="1189"/>
      <c r="AY103" s="1189"/>
      <c r="AZ103" s="1189"/>
      <c r="BA103" s="1189"/>
      <c r="BB103" s="1189"/>
      <c r="BC103" s="1189"/>
      <c r="BD103" s="1189"/>
      <c r="BE103" s="1193"/>
      <c r="CM103" s="1187"/>
      <c r="CN103" s="1187"/>
      <c r="CO103" s="1187"/>
      <c r="CP103" s="1187"/>
    </row>
    <row r="104" spans="1:94" ht="15.75" customHeight="1">
      <c r="A104" s="1189"/>
      <c r="B104" s="1211" t="s">
        <v>2284</v>
      </c>
      <c r="C104" s="1211"/>
      <c r="D104" s="1216"/>
      <c r="E104" s="1217"/>
      <c r="F104" s="2100"/>
      <c r="G104" s="2101"/>
      <c r="H104" s="2101"/>
      <c r="I104" s="2101"/>
      <c r="J104" s="2101"/>
      <c r="K104" s="2101"/>
      <c r="L104" s="2101"/>
      <c r="M104" s="2101"/>
      <c r="N104" s="2101"/>
      <c r="O104" s="2101"/>
      <c r="P104" s="2101"/>
      <c r="Q104" s="2101"/>
      <c r="R104" s="2102"/>
      <c r="S104" s="1189"/>
      <c r="T104" s="1189"/>
      <c r="U104" s="1189"/>
      <c r="V104" s="1189"/>
      <c r="W104" s="1189"/>
      <c r="X104" s="1189"/>
      <c r="Y104" s="1189"/>
      <c r="Z104" s="1189"/>
      <c r="AA104" s="1189"/>
      <c r="AB104" s="1189"/>
      <c r="AC104" s="1189"/>
      <c r="AD104" s="1189"/>
      <c r="AE104" s="1189"/>
      <c r="AF104" s="1189"/>
      <c r="AG104" s="1189"/>
      <c r="AH104" s="1189"/>
      <c r="AI104" s="1189"/>
      <c r="AJ104" s="1189"/>
      <c r="AK104" s="1189"/>
      <c r="AL104" s="1189"/>
      <c r="AM104" s="1189"/>
      <c r="AN104" s="1189"/>
      <c r="AO104" s="1189"/>
      <c r="AP104" s="1189"/>
      <c r="AQ104" s="1189"/>
      <c r="AR104" s="1189"/>
      <c r="AS104" s="1189"/>
      <c r="AT104" s="1189"/>
      <c r="AU104" s="1189"/>
      <c r="AV104" s="1189"/>
      <c r="AW104" s="1189"/>
      <c r="AX104" s="1189"/>
      <c r="AY104" s="1189"/>
      <c r="AZ104" s="1189"/>
      <c r="BA104" s="1189"/>
      <c r="BB104" s="1189"/>
      <c r="BC104" s="1189"/>
      <c r="BD104" s="1189"/>
      <c r="BE104" s="1193"/>
      <c r="CM104" s="1187"/>
      <c r="CN104" s="1187"/>
      <c r="CO104" s="1187"/>
      <c r="CP104" s="1187"/>
    </row>
    <row r="105" spans="1:94" ht="15.75" customHeight="1" thickBot="1">
      <c r="A105" s="1189"/>
      <c r="B105" s="1218" t="s">
        <v>2373</v>
      </c>
      <c r="C105" s="1219"/>
      <c r="D105" s="1220"/>
      <c r="E105" s="1220"/>
      <c r="F105" s="1220"/>
      <c r="G105" s="1220"/>
      <c r="H105" s="1220"/>
      <c r="I105" s="1220"/>
      <c r="J105" s="1220"/>
      <c r="K105" s="1220"/>
      <c r="L105" s="1221"/>
      <c r="M105" s="1220"/>
      <c r="N105" s="1221"/>
      <c r="O105" s="2139" t="str">
        <f>IFERROR(INDEX(BR96:BR98,MATCH(F104,$BQ$96:$BQ$98,0))/SUM($BR$96:$BR$98),"")</f>
        <v/>
      </c>
      <c r="P105" s="2140"/>
      <c r="Q105" s="2140"/>
      <c r="R105" s="2141"/>
      <c r="S105" s="1189"/>
      <c r="T105" s="1189"/>
      <c r="U105" s="1189"/>
      <c r="V105" s="1189"/>
      <c r="W105" s="1189"/>
      <c r="X105" s="1189"/>
      <c r="Y105" s="1189"/>
      <c r="Z105" s="1189"/>
      <c r="AA105" s="1189"/>
      <c r="AB105" s="1189"/>
      <c r="AC105" s="1189"/>
      <c r="AD105" s="1189"/>
      <c r="AE105" s="1189"/>
      <c r="AF105" s="1189"/>
      <c r="AG105" s="1189"/>
      <c r="AH105" s="1189"/>
      <c r="AI105" s="1189"/>
      <c r="AJ105" s="1189"/>
      <c r="AK105" s="1189"/>
      <c r="AL105" s="1189"/>
      <c r="AM105" s="1189"/>
      <c r="AN105" s="1189"/>
      <c r="AO105" s="1189"/>
      <c r="AP105" s="1189"/>
      <c r="AQ105" s="1189"/>
      <c r="AR105" s="1189"/>
      <c r="AS105" s="1189"/>
      <c r="AT105" s="1189"/>
      <c r="AU105" s="1189"/>
      <c r="AV105" s="1189"/>
      <c r="AW105" s="1189"/>
      <c r="AX105" s="1189"/>
      <c r="AY105" s="1189"/>
      <c r="AZ105" s="1189"/>
      <c r="BA105" s="1189"/>
      <c r="BB105" s="1189"/>
      <c r="BC105" s="1189"/>
      <c r="BD105" s="1189"/>
      <c r="BE105" s="1193"/>
      <c r="CM105" s="1187"/>
      <c r="CN105" s="1187"/>
      <c r="CO105" s="1187"/>
      <c r="CP105" s="1187"/>
    </row>
    <row r="106" spans="1:94" ht="15.75" customHeight="1" thickBot="1">
      <c r="A106" s="1189"/>
      <c r="B106" s="1189"/>
      <c r="C106" s="1189"/>
      <c r="D106" s="1189"/>
      <c r="E106" s="1189"/>
      <c r="F106" s="1189"/>
      <c r="G106" s="1189"/>
      <c r="H106" s="1189"/>
      <c r="I106" s="1189"/>
      <c r="J106" s="1189"/>
      <c r="K106" s="1189"/>
      <c r="L106" s="1189"/>
      <c r="M106" s="1189"/>
      <c r="N106" s="1189"/>
      <c r="O106" s="1189"/>
      <c r="P106" s="1222"/>
      <c r="Q106" s="1189"/>
      <c r="R106" s="1189"/>
      <c r="S106" s="1189"/>
      <c r="T106" s="1189"/>
      <c r="U106" s="1189"/>
      <c r="V106" s="1189"/>
      <c r="W106" s="1189"/>
      <c r="X106" s="1189"/>
      <c r="Y106" s="1189"/>
      <c r="Z106" s="1189"/>
      <c r="AA106" s="1189"/>
      <c r="AB106" s="1189"/>
      <c r="AC106" s="1189"/>
      <c r="AD106" s="1189"/>
      <c r="AE106" s="1189"/>
      <c r="AF106" s="1189"/>
      <c r="AG106" s="1189"/>
      <c r="AH106" s="1189"/>
      <c r="AI106" s="1189"/>
      <c r="AJ106" s="1189"/>
      <c r="AK106" s="1189"/>
      <c r="AL106" s="1189"/>
      <c r="AM106" s="1189"/>
      <c r="AN106" s="1189"/>
      <c r="AO106" s="1189"/>
      <c r="AP106" s="1189"/>
      <c r="AQ106" s="1189"/>
      <c r="AR106" s="1189"/>
      <c r="AS106" s="1189"/>
      <c r="AT106" s="1189"/>
      <c r="AU106" s="1189"/>
      <c r="AV106" s="1189"/>
      <c r="AW106" s="1189"/>
      <c r="AX106" s="1189"/>
      <c r="AY106" s="1189"/>
      <c r="AZ106" s="1189"/>
      <c r="BA106" s="1189"/>
      <c r="BB106" s="1189"/>
      <c r="BC106" s="1189"/>
      <c r="BD106" s="1189"/>
      <c r="BE106" s="1193"/>
      <c r="CM106" s="1187"/>
      <c r="CN106" s="1187"/>
      <c r="CO106" s="1187"/>
      <c r="CP106" s="1187"/>
    </row>
    <row r="107" spans="1:94" ht="15.75" customHeight="1">
      <c r="A107" s="1189"/>
      <c r="B107" s="2029" t="s">
        <v>2372</v>
      </c>
      <c r="C107" s="2030"/>
      <c r="D107" s="2030"/>
      <c r="E107" s="2030"/>
      <c r="F107" s="2030"/>
      <c r="G107" s="2030"/>
      <c r="H107" s="2030"/>
      <c r="I107" s="2030"/>
      <c r="J107" s="2030"/>
      <c r="K107" s="2030"/>
      <c r="L107" s="2030"/>
      <c r="M107" s="2030"/>
      <c r="N107" s="2030"/>
      <c r="O107" s="2030"/>
      <c r="P107" s="2030"/>
      <c r="Q107" s="2030"/>
      <c r="R107" s="2030"/>
      <c r="S107" s="2030"/>
      <c r="T107" s="2030"/>
      <c r="U107" s="2030"/>
      <c r="V107" s="2030"/>
      <c r="W107" s="2030"/>
      <c r="X107" s="2030"/>
      <c r="Y107" s="2030"/>
      <c r="Z107" s="2030"/>
      <c r="AA107" s="2030"/>
      <c r="AB107" s="2030"/>
      <c r="AC107" s="2030"/>
      <c r="AD107" s="2030"/>
      <c r="AE107" s="2030"/>
      <c r="AF107" s="2030"/>
      <c r="AG107" s="2030"/>
      <c r="AH107" s="2039"/>
      <c r="AI107" s="1189"/>
      <c r="AJ107" s="1189"/>
      <c r="AK107" s="1189"/>
      <c r="AL107" s="1189"/>
      <c r="AM107" s="1189"/>
      <c r="AN107" s="1189"/>
      <c r="AO107" s="1189"/>
      <c r="AP107" s="1189"/>
      <c r="AQ107" s="1189"/>
      <c r="AR107" s="1189"/>
      <c r="AS107" s="1189"/>
      <c r="AT107" s="1189"/>
      <c r="AU107" s="1189"/>
      <c r="AV107" s="1189"/>
      <c r="AW107" s="1189"/>
      <c r="AX107" s="1189"/>
      <c r="AY107" s="1189"/>
      <c r="AZ107" s="1189"/>
      <c r="BA107" s="1189"/>
      <c r="BB107" s="1189"/>
      <c r="BC107" s="1189"/>
      <c r="BD107" s="1189"/>
      <c r="BE107" s="1193"/>
      <c r="CM107" s="1187"/>
      <c r="CN107" s="1187"/>
      <c r="CO107" s="1187"/>
      <c r="CP107" s="1187"/>
    </row>
    <row r="108" spans="1:94" ht="16.5" customHeight="1">
      <c r="A108" s="1189"/>
      <c r="B108" s="2138"/>
      <c r="C108" s="2106"/>
      <c r="D108" s="2106"/>
      <c r="E108" s="2106"/>
      <c r="F108" s="2106"/>
      <c r="G108" s="2106"/>
      <c r="H108" s="2106"/>
      <c r="I108" s="2106" t="s">
        <v>2371</v>
      </c>
      <c r="J108" s="2106"/>
      <c r="K108" s="2106"/>
      <c r="L108" s="2106"/>
      <c r="M108" s="2106"/>
      <c r="N108" s="2106"/>
      <c r="O108" s="2106" t="s">
        <v>2347</v>
      </c>
      <c r="P108" s="2106"/>
      <c r="Q108" s="2106"/>
      <c r="R108" s="2106"/>
      <c r="S108" s="2106"/>
      <c r="T108" s="2106"/>
      <c r="U108" s="2106"/>
      <c r="V108" s="2142" t="s">
        <v>2346</v>
      </c>
      <c r="W108" s="2142"/>
      <c r="X108" s="2142"/>
      <c r="Y108" s="2142"/>
      <c r="Z108" s="2142"/>
      <c r="AA108" s="2142"/>
      <c r="AB108" s="2076" t="s">
        <v>2370</v>
      </c>
      <c r="AC108" s="2076"/>
      <c r="AD108" s="2076"/>
      <c r="AE108" s="2076"/>
      <c r="AF108" s="2076"/>
      <c r="AG108" s="2076"/>
      <c r="AH108" s="2143"/>
      <c r="AI108" s="1189"/>
      <c r="AJ108" s="1189"/>
      <c r="AK108" s="1189"/>
      <c r="AL108" s="1189"/>
      <c r="AM108" s="1189"/>
      <c r="AN108" s="1189"/>
      <c r="AO108" s="1189"/>
      <c r="AP108" s="1189"/>
      <c r="AQ108" s="1189"/>
      <c r="AR108" s="1189"/>
      <c r="AS108" s="1189"/>
      <c r="AT108" s="1189"/>
      <c r="AU108" s="1189"/>
      <c r="AV108" s="1189"/>
      <c r="AW108" s="1189"/>
      <c r="AX108" s="1189"/>
      <c r="AY108" s="1189"/>
      <c r="AZ108" s="1189"/>
      <c r="BA108" s="1189"/>
      <c r="BB108" s="1189"/>
      <c r="BC108" s="1189"/>
      <c r="BD108" s="1189"/>
      <c r="BE108" s="1193"/>
      <c r="CM108" s="1187"/>
      <c r="CN108" s="1187"/>
      <c r="CO108" s="1187"/>
      <c r="CP108" s="1187"/>
    </row>
    <row r="109" spans="1:94" ht="16.5" customHeight="1">
      <c r="A109" s="1189"/>
      <c r="B109" s="2138"/>
      <c r="C109" s="2106"/>
      <c r="D109" s="2106"/>
      <c r="E109" s="2106"/>
      <c r="F109" s="2106"/>
      <c r="G109" s="2106"/>
      <c r="H109" s="2106"/>
      <c r="I109" s="2106"/>
      <c r="J109" s="2106"/>
      <c r="K109" s="2106"/>
      <c r="L109" s="2106"/>
      <c r="M109" s="2106"/>
      <c r="N109" s="2106"/>
      <c r="O109" s="2106"/>
      <c r="P109" s="2106"/>
      <c r="Q109" s="2106"/>
      <c r="R109" s="2106"/>
      <c r="S109" s="2106"/>
      <c r="T109" s="2106"/>
      <c r="U109" s="2106"/>
      <c r="V109" s="2142"/>
      <c r="W109" s="2142"/>
      <c r="X109" s="2142"/>
      <c r="Y109" s="2142"/>
      <c r="Z109" s="2142"/>
      <c r="AA109" s="2142"/>
      <c r="AB109" s="2076"/>
      <c r="AC109" s="2076"/>
      <c r="AD109" s="2076"/>
      <c r="AE109" s="2076"/>
      <c r="AF109" s="2076"/>
      <c r="AG109" s="2076"/>
      <c r="AH109" s="2143"/>
      <c r="AI109" s="1189"/>
      <c r="AJ109" s="1189"/>
      <c r="AK109" s="1189"/>
      <c r="AL109" s="1189"/>
      <c r="AM109" s="1189"/>
      <c r="AN109" s="1189"/>
      <c r="AO109" s="1189"/>
      <c r="AP109" s="1189"/>
      <c r="AQ109" s="1189"/>
      <c r="AR109" s="1189"/>
      <c r="AS109" s="1189"/>
      <c r="AT109" s="1189"/>
      <c r="AU109" s="1189"/>
      <c r="AV109" s="1189"/>
      <c r="AW109" s="1189"/>
      <c r="AX109" s="1189"/>
      <c r="AY109" s="1189"/>
      <c r="AZ109" s="1189"/>
      <c r="BA109" s="1189"/>
      <c r="BB109" s="1189"/>
      <c r="BC109" s="1189"/>
      <c r="BD109" s="1189"/>
      <c r="BE109" s="1193"/>
      <c r="CM109" s="1187"/>
      <c r="CN109" s="1187"/>
      <c r="CO109" s="1187"/>
      <c r="CP109" s="1187"/>
    </row>
    <row r="110" spans="1:94" ht="15.75" customHeight="1">
      <c r="A110" s="1189"/>
      <c r="B110" s="2138" t="s">
        <v>2369</v>
      </c>
      <c r="C110" s="2106"/>
      <c r="D110" s="2106"/>
      <c r="E110" s="2106"/>
      <c r="F110" s="2106"/>
      <c r="G110" s="2106"/>
      <c r="H110" s="2106"/>
      <c r="I110" s="2079">
        <v>0</v>
      </c>
      <c r="J110" s="2079"/>
      <c r="K110" s="2079"/>
      <c r="L110" s="2079"/>
      <c r="M110" s="2079"/>
      <c r="N110" s="2079"/>
      <c r="O110" s="2079">
        <v>0</v>
      </c>
      <c r="P110" s="2079"/>
      <c r="Q110" s="2079"/>
      <c r="R110" s="2079"/>
      <c r="S110" s="2079"/>
      <c r="T110" s="2079"/>
      <c r="U110" s="2079"/>
      <c r="V110" s="2079">
        <v>0</v>
      </c>
      <c r="W110" s="2079"/>
      <c r="X110" s="2079"/>
      <c r="Y110" s="2079"/>
      <c r="Z110" s="2079"/>
      <c r="AA110" s="2079"/>
      <c r="AB110" s="2079">
        <v>0</v>
      </c>
      <c r="AC110" s="2079"/>
      <c r="AD110" s="2079"/>
      <c r="AE110" s="2079"/>
      <c r="AF110" s="2079"/>
      <c r="AG110" s="2079"/>
      <c r="AH110" s="2080"/>
      <c r="AI110" s="1189"/>
      <c r="AJ110" s="1189"/>
      <c r="AK110" s="1189"/>
      <c r="AL110" s="1189"/>
      <c r="AM110" s="1189"/>
      <c r="AN110" s="1189"/>
      <c r="AO110" s="1189"/>
      <c r="AP110" s="1189"/>
      <c r="AQ110" s="1189"/>
      <c r="AR110" s="1189"/>
      <c r="AS110" s="1189"/>
      <c r="AT110" s="1189"/>
      <c r="AU110" s="1189"/>
      <c r="AV110" s="1189"/>
      <c r="AW110" s="1189"/>
      <c r="AX110" s="1189"/>
      <c r="AY110" s="1189"/>
      <c r="AZ110" s="1189"/>
      <c r="BA110" s="1189"/>
      <c r="BB110" s="1189"/>
      <c r="BC110" s="1189"/>
      <c r="BD110" s="1189"/>
      <c r="BE110" s="1193"/>
      <c r="CM110" s="1187"/>
      <c r="CN110" s="1187"/>
      <c r="CO110" s="1187"/>
      <c r="CP110" s="1187"/>
    </row>
    <row r="111" spans="1:94" ht="15.75" customHeight="1">
      <c r="A111" s="1189"/>
      <c r="B111" s="2138" t="s">
        <v>2368</v>
      </c>
      <c r="C111" s="2106"/>
      <c r="D111" s="2106"/>
      <c r="E111" s="2106"/>
      <c r="F111" s="2106"/>
      <c r="G111" s="2106"/>
      <c r="H111" s="2106"/>
      <c r="I111" s="2079">
        <v>0</v>
      </c>
      <c r="J111" s="2079"/>
      <c r="K111" s="2079"/>
      <c r="L111" s="2079"/>
      <c r="M111" s="2079"/>
      <c r="N111" s="2079"/>
      <c r="O111" s="2079">
        <v>0</v>
      </c>
      <c r="P111" s="2079"/>
      <c r="Q111" s="2079"/>
      <c r="R111" s="2079"/>
      <c r="S111" s="2079"/>
      <c r="T111" s="2079"/>
      <c r="U111" s="2079"/>
      <c r="V111" s="2079">
        <v>0</v>
      </c>
      <c r="W111" s="2079"/>
      <c r="X111" s="2079"/>
      <c r="Y111" s="2079"/>
      <c r="Z111" s="2079"/>
      <c r="AA111" s="2079"/>
      <c r="AB111" s="2079">
        <v>0</v>
      </c>
      <c r="AC111" s="2079"/>
      <c r="AD111" s="2079"/>
      <c r="AE111" s="2079"/>
      <c r="AF111" s="2079"/>
      <c r="AG111" s="2079"/>
      <c r="AH111" s="2080"/>
      <c r="AI111" s="1189"/>
      <c r="AJ111" s="1189"/>
      <c r="AK111" s="1189"/>
      <c r="AL111" s="1189"/>
      <c r="AM111" s="1189"/>
      <c r="AN111" s="1189"/>
      <c r="AO111" s="1189"/>
      <c r="AP111" s="1189"/>
      <c r="AQ111" s="1189"/>
      <c r="AR111" s="1189"/>
      <c r="AS111" s="1189"/>
      <c r="AT111" s="1189"/>
      <c r="AU111" s="1189"/>
      <c r="AV111" s="1189"/>
      <c r="AW111" s="1189"/>
      <c r="AX111" s="1189"/>
      <c r="AY111" s="1189"/>
      <c r="AZ111" s="1189"/>
      <c r="BA111" s="1189"/>
      <c r="BB111" s="1189"/>
      <c r="BC111" s="1189"/>
      <c r="BD111" s="1189"/>
      <c r="BE111" s="1193"/>
      <c r="CM111" s="1187"/>
      <c r="CN111" s="1187"/>
      <c r="CO111" s="1187"/>
      <c r="CP111" s="1187"/>
    </row>
    <row r="112" spans="1:94" ht="15.75" customHeight="1" thickBot="1">
      <c r="A112" s="1189"/>
      <c r="B112" s="2136" t="s">
        <v>2367</v>
      </c>
      <c r="C112" s="2137"/>
      <c r="D112" s="2137"/>
      <c r="E112" s="2137"/>
      <c r="F112" s="2137"/>
      <c r="G112" s="2137"/>
      <c r="H112" s="2137"/>
      <c r="I112" s="2073">
        <v>0</v>
      </c>
      <c r="J112" s="2073"/>
      <c r="K112" s="2073"/>
      <c r="L112" s="2073"/>
      <c r="M112" s="2073"/>
      <c r="N112" s="2073"/>
      <c r="O112" s="2073">
        <v>0</v>
      </c>
      <c r="P112" s="2073"/>
      <c r="Q112" s="2073"/>
      <c r="R112" s="2073"/>
      <c r="S112" s="2073"/>
      <c r="T112" s="2073"/>
      <c r="U112" s="2073"/>
      <c r="V112" s="2073">
        <v>0</v>
      </c>
      <c r="W112" s="2073"/>
      <c r="X112" s="2073"/>
      <c r="Y112" s="2073"/>
      <c r="Z112" s="2073"/>
      <c r="AA112" s="2073"/>
      <c r="AB112" s="2073">
        <v>0</v>
      </c>
      <c r="AC112" s="2073"/>
      <c r="AD112" s="2073"/>
      <c r="AE112" s="2073"/>
      <c r="AF112" s="2073"/>
      <c r="AG112" s="2073"/>
      <c r="AH112" s="2074"/>
      <c r="AI112" s="1189"/>
      <c r="AJ112" s="1189"/>
      <c r="AK112" s="1189"/>
      <c r="AL112" s="1189"/>
      <c r="AM112" s="1189"/>
      <c r="AN112" s="1189"/>
      <c r="AO112" s="1189"/>
      <c r="AP112" s="1189"/>
      <c r="AQ112" s="1189"/>
      <c r="AR112" s="1189"/>
      <c r="AS112" s="1189"/>
      <c r="AT112" s="1189"/>
      <c r="AU112" s="1189"/>
      <c r="AV112" s="1189"/>
      <c r="AW112" s="1189"/>
      <c r="AX112" s="1189"/>
      <c r="AY112" s="1189"/>
      <c r="AZ112" s="1189"/>
      <c r="BA112" s="1189"/>
      <c r="BB112" s="1189"/>
      <c r="BC112" s="1189"/>
      <c r="BD112" s="1189"/>
      <c r="BE112" s="1193"/>
      <c r="CM112" s="1187"/>
      <c r="CN112" s="1187"/>
      <c r="CO112" s="1187"/>
      <c r="CP112" s="1187"/>
    </row>
    <row r="113" spans="1:57" ht="15.75" customHeight="1" thickBot="1">
      <c r="A113" s="1189"/>
      <c r="B113" s="1189"/>
      <c r="C113" s="1189"/>
      <c r="D113" s="1189"/>
      <c r="E113" s="1189"/>
      <c r="F113" s="1189"/>
      <c r="G113" s="1189"/>
      <c r="H113" s="1189"/>
      <c r="I113" s="1189"/>
      <c r="J113" s="1189"/>
      <c r="K113" s="1189"/>
      <c r="L113" s="1189"/>
      <c r="M113" s="1189"/>
      <c r="N113" s="1189"/>
      <c r="O113" s="1189"/>
      <c r="P113" s="1189"/>
      <c r="Q113" s="1189"/>
      <c r="R113" s="1189"/>
      <c r="S113" s="1189"/>
      <c r="T113" s="1189"/>
      <c r="U113" s="1189" t="s">
        <v>250</v>
      </c>
      <c r="V113" s="1189"/>
      <c r="W113" s="1189"/>
      <c r="X113" s="1189"/>
      <c r="Y113" s="1189"/>
      <c r="Z113" s="1189"/>
      <c r="AA113" s="1189"/>
      <c r="AB113" s="1189"/>
      <c r="AC113" s="1189"/>
      <c r="AD113" s="1189"/>
      <c r="AE113" s="1189"/>
      <c r="AF113" s="1189"/>
      <c r="AG113" s="1189"/>
      <c r="AH113" s="1189"/>
      <c r="AI113" s="1189"/>
      <c r="AJ113" s="1189"/>
      <c r="AK113" s="1189"/>
      <c r="AL113" s="1189"/>
      <c r="AM113" s="1189"/>
      <c r="AN113" s="1189"/>
      <c r="AO113" s="1189"/>
      <c r="AP113" s="1189"/>
      <c r="AQ113" s="1189"/>
      <c r="AR113" s="1189"/>
      <c r="AS113" s="1189"/>
      <c r="AT113" s="1189"/>
      <c r="AU113" s="1189"/>
      <c r="AV113" s="1189"/>
      <c r="AW113" s="1189"/>
      <c r="AX113" s="1189"/>
      <c r="AY113" s="1189"/>
      <c r="AZ113" s="1189"/>
      <c r="BA113" s="1189"/>
      <c r="BB113" s="1189"/>
      <c r="BC113" s="1189"/>
      <c r="BD113" s="1189"/>
      <c r="BE113" s="1193"/>
    </row>
    <row r="114" spans="1:57" ht="15.75" customHeight="1" thickBot="1">
      <c r="A114" s="1189"/>
      <c r="B114" s="1201" t="s">
        <v>2366</v>
      </c>
      <c r="C114" s="1207"/>
      <c r="D114" s="1207"/>
      <c r="E114" s="1207"/>
      <c r="F114" s="1207"/>
      <c r="G114" s="1207"/>
      <c r="H114" s="1207"/>
      <c r="I114" s="1207"/>
      <c r="J114" s="1207"/>
      <c r="K114" s="1207"/>
      <c r="L114" s="1207"/>
      <c r="M114" s="1207"/>
      <c r="N114" s="1207"/>
      <c r="O114" s="1207"/>
      <c r="P114" s="1207"/>
      <c r="Q114" s="1207"/>
      <c r="R114" s="1223"/>
      <c r="S114" s="1189"/>
      <c r="T114" s="1189"/>
      <c r="U114" s="1189"/>
      <c r="V114" s="1189"/>
      <c r="W114" s="1189"/>
      <c r="X114" s="1189"/>
      <c r="Y114" s="1189"/>
      <c r="Z114" s="1189"/>
      <c r="AA114" s="1189"/>
      <c r="AB114" s="1189"/>
      <c r="AC114" s="1189"/>
      <c r="AD114" s="1189"/>
      <c r="AE114" s="1189"/>
      <c r="AF114" s="1189"/>
      <c r="AG114" s="1189"/>
      <c r="AH114" s="1189"/>
      <c r="AI114" s="1189"/>
      <c r="AJ114" s="1189"/>
      <c r="AK114" s="1189"/>
      <c r="AL114" s="1189"/>
      <c r="AM114" s="1189"/>
      <c r="AN114" s="1189"/>
      <c r="AO114" s="1189"/>
      <c r="AP114" s="1189"/>
      <c r="AQ114" s="1189"/>
      <c r="AR114" s="1189"/>
      <c r="AS114" s="1189"/>
      <c r="AT114" s="1189"/>
      <c r="AU114" s="1189"/>
      <c r="AV114" s="1189"/>
      <c r="AW114" s="1189"/>
      <c r="AX114" s="1189"/>
      <c r="AY114" s="1189"/>
      <c r="AZ114" s="1189"/>
      <c r="BA114" s="1189"/>
      <c r="BB114" s="1189"/>
      <c r="BC114" s="1189"/>
      <c r="BD114" s="1189"/>
      <c r="BE114" s="1193"/>
    </row>
    <row r="115" spans="1:57" ht="15.75" customHeight="1">
      <c r="A115" s="1189"/>
      <c r="B115" s="1211" t="s">
        <v>2284</v>
      </c>
      <c r="C115" s="1211"/>
      <c r="D115" s="1216"/>
      <c r="E115" s="1217"/>
      <c r="F115" s="2100"/>
      <c r="G115" s="2101"/>
      <c r="H115" s="2101"/>
      <c r="I115" s="2101"/>
      <c r="J115" s="2101"/>
      <c r="K115" s="2101"/>
      <c r="L115" s="2101"/>
      <c r="M115" s="2101"/>
      <c r="N115" s="2101"/>
      <c r="O115" s="2101"/>
      <c r="P115" s="2101"/>
      <c r="Q115" s="2101"/>
      <c r="R115" s="2102"/>
      <c r="S115" s="1189"/>
      <c r="T115" s="1189"/>
      <c r="U115" s="1189"/>
      <c r="V115" s="1189"/>
      <c r="W115" s="1189"/>
      <c r="X115" s="1189"/>
      <c r="Y115" s="1189"/>
      <c r="Z115" s="1189"/>
      <c r="AA115" s="1189"/>
      <c r="AB115" s="1189"/>
      <c r="AC115" s="1189"/>
      <c r="AD115" s="1189"/>
      <c r="AE115" s="1189"/>
      <c r="AF115" s="1189"/>
      <c r="AG115" s="1189"/>
      <c r="AH115" s="1189"/>
      <c r="AI115" s="1189"/>
      <c r="AJ115" s="1189"/>
      <c r="AK115" s="1189"/>
      <c r="AL115" s="1189"/>
      <c r="AM115" s="1189"/>
      <c r="AN115" s="1189"/>
      <c r="AO115" s="1189"/>
      <c r="AP115" s="1189"/>
      <c r="AQ115" s="1189"/>
      <c r="AR115" s="1189"/>
      <c r="AS115" s="1189"/>
      <c r="AT115" s="1189"/>
      <c r="AU115" s="1189"/>
      <c r="AV115" s="1189"/>
      <c r="AW115" s="1189"/>
      <c r="AX115" s="1189"/>
      <c r="AY115" s="1189"/>
      <c r="AZ115" s="1189"/>
      <c r="BA115" s="1189"/>
      <c r="BB115" s="1189"/>
      <c r="BC115" s="1189"/>
      <c r="BD115" s="1189"/>
      <c r="BE115" s="1193"/>
    </row>
    <row r="116" spans="1:57" ht="15.75" customHeight="1" thickBot="1">
      <c r="A116" s="1189"/>
      <c r="B116" s="1189"/>
      <c r="C116" s="1189"/>
      <c r="D116" s="1189"/>
      <c r="E116" s="1189"/>
      <c r="F116" s="1189"/>
      <c r="G116" s="1189"/>
      <c r="H116" s="1189"/>
      <c r="I116" s="1189"/>
      <c r="J116" s="1189"/>
      <c r="K116" s="1189"/>
      <c r="L116" s="1189"/>
      <c r="M116" s="1189"/>
      <c r="N116" s="1189"/>
      <c r="O116" s="1189"/>
      <c r="P116" s="1189"/>
      <c r="Q116" s="1189"/>
      <c r="R116" s="1189"/>
      <c r="S116" s="1189"/>
      <c r="T116" s="1189"/>
      <c r="U116" s="1189"/>
      <c r="V116" s="1189"/>
      <c r="W116" s="1189"/>
      <c r="X116" s="1189"/>
      <c r="Y116" s="1189"/>
      <c r="Z116" s="1189"/>
      <c r="AA116" s="1189"/>
      <c r="AB116" s="1189"/>
      <c r="AC116" s="1189"/>
      <c r="AD116" s="1189"/>
      <c r="AE116" s="1189"/>
      <c r="AF116" s="1189"/>
      <c r="AG116" s="1189"/>
      <c r="AH116" s="1189"/>
      <c r="AI116" s="1189"/>
      <c r="AJ116" s="1189"/>
      <c r="AK116" s="1189"/>
      <c r="AL116" s="1189"/>
      <c r="AM116" s="1189"/>
      <c r="AN116" s="1189"/>
      <c r="AO116" s="1189"/>
      <c r="AP116" s="1189"/>
      <c r="AQ116" s="1189"/>
      <c r="AR116" s="1189"/>
      <c r="AS116" s="1189"/>
      <c r="AT116" s="1189"/>
      <c r="AU116" s="1189"/>
      <c r="AV116" s="1189"/>
      <c r="AW116" s="1189"/>
      <c r="AX116" s="1189"/>
      <c r="AY116" s="1189"/>
      <c r="AZ116" s="1189"/>
      <c r="BA116" s="1189"/>
      <c r="BB116" s="1189"/>
      <c r="BC116" s="1189"/>
      <c r="BD116" s="1189"/>
      <c r="BE116" s="1193"/>
    </row>
    <row r="117" spans="1:57" ht="15.75" customHeight="1">
      <c r="A117" s="1189"/>
      <c r="B117" s="2111" t="s">
        <v>2365</v>
      </c>
      <c r="C117" s="2112"/>
      <c r="D117" s="2112"/>
      <c r="E117" s="2112"/>
      <c r="F117" s="2112"/>
      <c r="G117" s="2112"/>
      <c r="H117" s="2112"/>
      <c r="I117" s="2112"/>
      <c r="J117" s="2112"/>
      <c r="K117" s="2112"/>
      <c r="L117" s="2112"/>
      <c r="M117" s="2112"/>
      <c r="N117" s="2112"/>
      <c r="O117" s="2112"/>
      <c r="P117" s="2112"/>
      <c r="Q117" s="2112"/>
      <c r="R117" s="2112"/>
      <c r="S117" s="2112"/>
      <c r="T117" s="2112"/>
      <c r="U117" s="2115" t="s">
        <v>545</v>
      </c>
      <c r="V117" s="2115"/>
      <c r="W117" s="2115"/>
      <c r="X117" s="2116"/>
      <c r="Y117" s="1189"/>
      <c r="Z117" s="1189"/>
      <c r="AA117" s="1189"/>
      <c r="AB117" s="1189"/>
      <c r="AC117" s="1189"/>
      <c r="AD117" s="1189"/>
      <c r="AE117" s="1189"/>
      <c r="AF117" s="1189"/>
      <c r="AG117" s="1189"/>
      <c r="AH117" s="1189"/>
      <c r="AI117" s="1189"/>
      <c r="AJ117" s="1189"/>
      <c r="AK117" s="1189"/>
      <c r="AL117" s="1189"/>
      <c r="AM117" s="1189"/>
      <c r="AN117" s="1189"/>
      <c r="AO117" s="1189"/>
      <c r="AP117" s="1189"/>
      <c r="AQ117" s="1189"/>
      <c r="AR117" s="1189"/>
      <c r="AS117" s="1189"/>
      <c r="AT117" s="1189"/>
      <c r="AU117" s="1189"/>
      <c r="AV117" s="1189"/>
      <c r="AW117" s="1189"/>
      <c r="AX117" s="1189"/>
      <c r="AY117" s="1189"/>
      <c r="AZ117" s="1189"/>
      <c r="BA117" s="1189"/>
      <c r="BB117" s="1189"/>
      <c r="BC117" s="1189"/>
      <c r="BD117" s="1189"/>
      <c r="BE117" s="1193"/>
    </row>
    <row r="118" spans="1:57" ht="15.75" customHeight="1">
      <c r="A118" s="1189"/>
      <c r="B118" s="2113"/>
      <c r="C118" s="2114"/>
      <c r="D118" s="2114"/>
      <c r="E118" s="2114"/>
      <c r="F118" s="2114"/>
      <c r="G118" s="2114"/>
      <c r="H118" s="2114"/>
      <c r="I118" s="2114"/>
      <c r="J118" s="2114"/>
      <c r="K118" s="2114"/>
      <c r="L118" s="2114"/>
      <c r="M118" s="2114"/>
      <c r="N118" s="2114"/>
      <c r="O118" s="2114"/>
      <c r="P118" s="2114"/>
      <c r="Q118" s="2114"/>
      <c r="R118" s="2114"/>
      <c r="S118" s="2114"/>
      <c r="T118" s="2114"/>
      <c r="U118" s="2117"/>
      <c r="V118" s="2117"/>
      <c r="W118" s="2117"/>
      <c r="X118" s="2118"/>
      <c r="Y118" s="1189"/>
      <c r="Z118" s="1189"/>
      <c r="AA118" s="1189"/>
      <c r="AB118" s="1189"/>
      <c r="AC118" s="1189"/>
      <c r="AD118" s="1189"/>
      <c r="AE118" s="1189"/>
      <c r="AF118" s="1189"/>
      <c r="AG118" s="1189"/>
      <c r="AH118" s="1189"/>
      <c r="AI118" s="1189"/>
      <c r="AJ118" s="1189"/>
      <c r="AK118" s="1189"/>
      <c r="AL118" s="1189"/>
      <c r="AM118" s="1189"/>
      <c r="AN118" s="1189"/>
      <c r="AO118" s="1189"/>
      <c r="AP118" s="1189"/>
      <c r="AQ118" s="1189"/>
      <c r="AR118" s="1189"/>
      <c r="AS118" s="1189"/>
      <c r="AT118" s="1189"/>
      <c r="AU118" s="1189"/>
      <c r="AV118" s="1189"/>
      <c r="AW118" s="1189"/>
      <c r="AX118" s="1189"/>
      <c r="AY118" s="1189"/>
      <c r="AZ118" s="1189"/>
      <c r="BA118" s="1189"/>
      <c r="BB118" s="1189"/>
      <c r="BC118" s="1189"/>
      <c r="BD118" s="1189"/>
      <c r="BE118" s="1193"/>
    </row>
    <row r="119" spans="1:57" ht="15.75" customHeight="1">
      <c r="A119" s="1189"/>
      <c r="B119" s="2113"/>
      <c r="C119" s="2114"/>
      <c r="D119" s="2114"/>
      <c r="E119" s="2114"/>
      <c r="F119" s="2114"/>
      <c r="G119" s="2114"/>
      <c r="H119" s="2114"/>
      <c r="I119" s="2114"/>
      <c r="J119" s="2114"/>
      <c r="K119" s="2114"/>
      <c r="L119" s="2114"/>
      <c r="M119" s="2114"/>
      <c r="N119" s="2114"/>
      <c r="O119" s="2114"/>
      <c r="P119" s="2114"/>
      <c r="Q119" s="2114"/>
      <c r="R119" s="2114"/>
      <c r="S119" s="2114"/>
      <c r="T119" s="2114"/>
      <c r="U119" s="2117"/>
      <c r="V119" s="2117"/>
      <c r="W119" s="2117"/>
      <c r="X119" s="2118"/>
      <c r="Y119" s="1189"/>
      <c r="Z119" s="1189"/>
      <c r="AA119" s="1189"/>
      <c r="AB119" s="1189"/>
      <c r="AC119" s="1189"/>
      <c r="AD119" s="1189"/>
      <c r="AE119" s="1189"/>
      <c r="AF119" s="1189"/>
      <c r="AG119" s="1189"/>
      <c r="AH119" s="1189"/>
      <c r="AI119" s="1189"/>
      <c r="AJ119" s="1189"/>
      <c r="AK119" s="1189"/>
      <c r="AL119" s="1189"/>
      <c r="AM119" s="1189"/>
      <c r="AN119" s="1189"/>
      <c r="AO119" s="1189"/>
      <c r="AP119" s="1189"/>
      <c r="AQ119" s="1189"/>
      <c r="AR119" s="1189"/>
      <c r="AS119" s="1189"/>
      <c r="AT119" s="1189"/>
      <c r="AU119" s="1189"/>
      <c r="AV119" s="1189"/>
      <c r="AW119" s="1189"/>
      <c r="AX119" s="1189"/>
      <c r="AY119" s="1189"/>
      <c r="AZ119" s="1189"/>
      <c r="BA119" s="1189"/>
      <c r="BB119" s="1189"/>
      <c r="BC119" s="1189"/>
      <c r="BD119" s="1189"/>
      <c r="BE119" s="1193"/>
    </row>
    <row r="120" spans="1:57" ht="15.75" customHeight="1">
      <c r="A120" s="1189"/>
      <c r="B120" s="2113"/>
      <c r="C120" s="2114"/>
      <c r="D120" s="2114"/>
      <c r="E120" s="2114"/>
      <c r="F120" s="2114"/>
      <c r="G120" s="2114"/>
      <c r="H120" s="2114"/>
      <c r="I120" s="2114"/>
      <c r="J120" s="2114"/>
      <c r="K120" s="2114"/>
      <c r="L120" s="2114"/>
      <c r="M120" s="2114"/>
      <c r="N120" s="2114"/>
      <c r="O120" s="2114"/>
      <c r="P120" s="2114"/>
      <c r="Q120" s="2114"/>
      <c r="R120" s="2114"/>
      <c r="S120" s="2114"/>
      <c r="T120" s="2114"/>
      <c r="U120" s="2117"/>
      <c r="V120" s="2117"/>
      <c r="W120" s="2117"/>
      <c r="X120" s="2118"/>
      <c r="Y120" s="1189"/>
      <c r="Z120" s="1189"/>
      <c r="AA120" s="1189"/>
      <c r="AB120" s="1189"/>
      <c r="AC120" s="1189"/>
      <c r="AD120" s="1189"/>
      <c r="AE120" s="1189"/>
      <c r="AF120" s="1189"/>
      <c r="AG120" s="1189"/>
      <c r="AH120" s="1189"/>
      <c r="AI120" s="1189"/>
      <c r="AJ120" s="1189"/>
      <c r="AK120" s="1189"/>
      <c r="AL120" s="1189"/>
      <c r="AM120" s="1189"/>
      <c r="AN120" s="1189"/>
      <c r="AO120" s="1189"/>
      <c r="AP120" s="1189"/>
      <c r="AQ120" s="1189"/>
      <c r="AR120" s="1189"/>
      <c r="AS120" s="1189"/>
      <c r="AT120" s="1189"/>
      <c r="AU120" s="1189"/>
      <c r="AV120" s="1189"/>
      <c r="AW120" s="1189"/>
      <c r="AX120" s="1189"/>
      <c r="AY120" s="1189"/>
      <c r="AZ120" s="1189"/>
      <c r="BA120" s="1189"/>
      <c r="BB120" s="1189"/>
      <c r="BC120" s="1189"/>
      <c r="BD120" s="1189"/>
      <c r="BE120" s="1193"/>
    </row>
    <row r="121" spans="1:57" ht="15.75" customHeight="1">
      <c r="A121" s="1189"/>
      <c r="B121" s="2119" t="s">
        <v>2365</v>
      </c>
      <c r="C121" s="2120"/>
      <c r="D121" s="2120"/>
      <c r="E121" s="2120"/>
      <c r="F121" s="2120"/>
      <c r="G121" s="2120"/>
      <c r="H121" s="2120"/>
      <c r="I121" s="2120"/>
      <c r="J121" s="2120"/>
      <c r="K121" s="2120"/>
      <c r="L121" s="2120"/>
      <c r="M121" s="2120"/>
      <c r="N121" s="2120"/>
      <c r="O121" s="2120"/>
      <c r="P121" s="2120"/>
      <c r="Q121" s="2120"/>
      <c r="R121" s="2120"/>
      <c r="S121" s="2120"/>
      <c r="T121" s="2120"/>
      <c r="U121" s="2123" t="s">
        <v>545</v>
      </c>
      <c r="V121" s="2123"/>
      <c r="W121" s="2123"/>
      <c r="X121" s="2124"/>
      <c r="Y121" s="1189"/>
      <c r="Z121" s="1189"/>
      <c r="AA121" s="1189"/>
      <c r="AB121" s="1189"/>
      <c r="AC121" s="1189"/>
      <c r="AD121" s="1189"/>
      <c r="AE121" s="1189"/>
      <c r="AF121" s="1189"/>
      <c r="AG121" s="1189"/>
      <c r="AH121" s="1189"/>
      <c r="AI121" s="1189"/>
      <c r="AJ121" s="1189"/>
      <c r="AK121" s="1189"/>
      <c r="AL121" s="1189"/>
      <c r="AM121" s="1189"/>
      <c r="AN121" s="1189"/>
      <c r="AO121" s="1189"/>
      <c r="AP121" s="1189"/>
      <c r="AQ121" s="1189"/>
      <c r="AR121" s="1189"/>
      <c r="AS121" s="1189"/>
      <c r="AT121" s="1189"/>
      <c r="AU121" s="1189"/>
      <c r="AV121" s="1189"/>
      <c r="AW121" s="1189"/>
      <c r="AX121" s="1189"/>
      <c r="AY121" s="1189"/>
      <c r="AZ121" s="1189"/>
      <c r="BA121" s="1189"/>
      <c r="BB121" s="1189"/>
      <c r="BC121" s="1189"/>
      <c r="BD121" s="1189"/>
      <c r="BE121" s="1193"/>
    </row>
    <row r="122" spans="1:57" ht="15.75" customHeight="1" thickBot="1">
      <c r="A122" s="1189"/>
      <c r="B122" s="2121"/>
      <c r="C122" s="2122"/>
      <c r="D122" s="2122"/>
      <c r="E122" s="2122"/>
      <c r="F122" s="2122"/>
      <c r="G122" s="2122"/>
      <c r="H122" s="2122"/>
      <c r="I122" s="2122"/>
      <c r="J122" s="2122"/>
      <c r="K122" s="2122"/>
      <c r="L122" s="2122"/>
      <c r="M122" s="2122"/>
      <c r="N122" s="2122"/>
      <c r="O122" s="2122"/>
      <c r="P122" s="2122"/>
      <c r="Q122" s="2122"/>
      <c r="R122" s="2122"/>
      <c r="S122" s="2122"/>
      <c r="T122" s="2122"/>
      <c r="U122" s="2125"/>
      <c r="V122" s="2125"/>
      <c r="W122" s="2125"/>
      <c r="X122" s="2126"/>
      <c r="Y122" s="1189"/>
      <c r="Z122" s="1189"/>
      <c r="AA122" s="1189"/>
      <c r="AB122" s="1189"/>
      <c r="AC122" s="1189"/>
      <c r="AD122" s="1189"/>
      <c r="AE122" s="1189"/>
      <c r="AF122" s="1189"/>
      <c r="AG122" s="1189"/>
      <c r="AH122" s="1189"/>
      <c r="AI122" s="1189"/>
      <c r="AJ122" s="1189"/>
      <c r="AK122" s="1189"/>
      <c r="AL122" s="1189"/>
      <c r="AM122" s="1189"/>
      <c r="AN122" s="1189"/>
      <c r="AO122" s="1189"/>
      <c r="AP122" s="1189"/>
      <c r="AQ122" s="1189"/>
      <c r="AR122" s="1189"/>
      <c r="AS122" s="1189"/>
      <c r="AT122" s="1189"/>
      <c r="AU122" s="1189"/>
      <c r="AV122" s="1189"/>
      <c r="AW122" s="1189"/>
      <c r="AX122" s="1189"/>
      <c r="AY122" s="1189"/>
      <c r="AZ122" s="1189"/>
      <c r="BA122" s="1189"/>
      <c r="BB122" s="1189"/>
      <c r="BC122" s="1189"/>
      <c r="BD122" s="1189"/>
      <c r="BE122" s="1193"/>
    </row>
    <row r="123" spans="1:57" ht="15.75" customHeight="1" thickBot="1">
      <c r="A123" s="1189"/>
      <c r="B123" s="1189"/>
      <c r="C123" s="1189"/>
      <c r="D123" s="1189"/>
      <c r="E123" s="1189"/>
      <c r="F123" s="1189"/>
      <c r="G123" s="1189"/>
      <c r="H123" s="1189"/>
      <c r="I123" s="1189"/>
      <c r="J123" s="1189"/>
      <c r="K123" s="1189"/>
      <c r="L123" s="1189"/>
      <c r="M123" s="1189"/>
      <c r="N123" s="1189"/>
      <c r="O123" s="1189"/>
      <c r="P123" s="1189"/>
      <c r="Q123" s="1189"/>
      <c r="R123" s="1189"/>
      <c r="S123" s="1189"/>
      <c r="T123" s="1189"/>
      <c r="U123" s="1189"/>
      <c r="V123" s="1189"/>
      <c r="W123" s="1189"/>
      <c r="X123" s="1189"/>
      <c r="Y123" s="1189"/>
      <c r="Z123" s="1189"/>
      <c r="AA123" s="1189"/>
      <c r="AB123" s="1189"/>
      <c r="AC123" s="1189"/>
      <c r="AD123" s="1189"/>
      <c r="AE123" s="1189"/>
      <c r="AF123" s="1189"/>
      <c r="AG123" s="1189"/>
      <c r="AH123" s="1189"/>
      <c r="AI123" s="1189"/>
      <c r="AJ123" s="1189"/>
      <c r="AK123" s="1189"/>
      <c r="AL123" s="1189"/>
      <c r="AM123" s="1189"/>
      <c r="AN123" s="1189"/>
      <c r="AO123" s="1189"/>
      <c r="AP123" s="1189"/>
      <c r="AQ123" s="1189"/>
      <c r="AR123" s="1189"/>
      <c r="AS123" s="1189"/>
      <c r="AT123" s="1189"/>
      <c r="AU123" s="1189"/>
      <c r="AV123" s="1189"/>
      <c r="AW123" s="1189"/>
      <c r="AX123" s="1189"/>
      <c r="AY123" s="1189"/>
      <c r="AZ123" s="1189"/>
      <c r="BA123" s="1189"/>
      <c r="BB123" s="1189"/>
      <c r="BC123" s="1189"/>
      <c r="BD123" s="1189"/>
      <c r="BE123" s="1193"/>
    </row>
    <row r="124" spans="1:57" ht="15.75" customHeight="1" thickBot="1">
      <c r="A124" s="1189"/>
      <c r="B124" s="1208" t="s">
        <v>2364</v>
      </c>
      <c r="C124" s="1203"/>
      <c r="D124" s="1203"/>
      <c r="E124" s="1203"/>
      <c r="F124" s="1203"/>
      <c r="G124" s="1203"/>
      <c r="H124" s="1203"/>
      <c r="I124" s="1203"/>
      <c r="J124" s="1203"/>
      <c r="K124" s="1203"/>
      <c r="L124" s="1203"/>
      <c r="M124" s="1203"/>
      <c r="N124" s="1203"/>
      <c r="O124" s="1203"/>
      <c r="P124" s="1203"/>
      <c r="Q124" s="1203"/>
      <c r="R124" s="1204"/>
      <c r="S124" s="1189"/>
      <c r="T124" s="1189"/>
      <c r="U124" s="1189"/>
      <c r="V124" s="1189"/>
      <c r="W124" s="1189"/>
      <c r="X124" s="1189"/>
      <c r="Y124" s="1189"/>
      <c r="Z124" s="1189"/>
      <c r="AA124" s="1189"/>
      <c r="AB124" s="1189"/>
      <c r="AC124" s="1189"/>
      <c r="AD124" s="1189"/>
      <c r="AE124" s="1189"/>
      <c r="AF124" s="1189"/>
      <c r="AG124" s="1189"/>
      <c r="AH124" s="1189"/>
      <c r="AI124" s="1189"/>
      <c r="AJ124" s="1189"/>
      <c r="AK124" s="1189"/>
      <c r="AL124" s="1189"/>
      <c r="AM124" s="1189"/>
      <c r="AN124" s="1189"/>
      <c r="AO124" s="1189"/>
      <c r="AP124" s="1189"/>
      <c r="AQ124" s="1189"/>
      <c r="AR124" s="1189"/>
      <c r="AS124" s="1189"/>
      <c r="AT124" s="1189"/>
      <c r="AU124" s="1189"/>
      <c r="AV124" s="1189"/>
      <c r="AW124" s="1189"/>
      <c r="AX124" s="1189"/>
      <c r="AY124" s="1189"/>
      <c r="AZ124" s="1189"/>
      <c r="BA124" s="1189"/>
      <c r="BB124" s="1189"/>
      <c r="BC124" s="1189"/>
      <c r="BD124" s="1189"/>
      <c r="BE124" s="1193"/>
    </row>
    <row r="125" spans="1:57" ht="15.75" customHeight="1" thickBot="1">
      <c r="A125" s="1189"/>
      <c r="B125" s="1189"/>
      <c r="C125" s="1189"/>
      <c r="D125" s="1189"/>
      <c r="E125" s="1189"/>
      <c r="F125" s="1189"/>
      <c r="G125" s="1189"/>
      <c r="H125" s="1189"/>
      <c r="I125" s="1189"/>
      <c r="J125" s="1189"/>
      <c r="K125" s="1189"/>
      <c r="L125" s="1189"/>
      <c r="M125" s="1189"/>
      <c r="N125" s="1189"/>
      <c r="O125" s="1189"/>
      <c r="P125" s="1222"/>
      <c r="Q125" s="1189"/>
      <c r="R125" s="1189"/>
      <c r="S125" s="1189"/>
      <c r="T125" s="1189"/>
      <c r="U125" s="1189"/>
      <c r="V125" s="1189"/>
      <c r="W125" s="1189"/>
      <c r="X125" s="2127" t="s">
        <v>2363</v>
      </c>
      <c r="Y125" s="2128"/>
      <c r="Z125" s="2128"/>
      <c r="AA125" s="2128"/>
      <c r="AB125" s="2128"/>
      <c r="AC125" s="2128"/>
      <c r="AD125" s="2128"/>
      <c r="AE125" s="2128"/>
      <c r="AF125" s="2128"/>
      <c r="AG125" s="2128"/>
      <c r="AH125" s="2128"/>
      <c r="AI125" s="2128"/>
      <c r="AJ125" s="2128"/>
      <c r="AK125" s="2128"/>
      <c r="AL125" s="2128"/>
      <c r="AM125" s="2128"/>
      <c r="AN125" s="2128"/>
      <c r="AO125" s="2128"/>
      <c r="AP125" s="2128"/>
      <c r="AQ125" s="2128"/>
      <c r="AR125" s="2128"/>
      <c r="AS125" s="2128"/>
      <c r="AT125" s="2128"/>
      <c r="AU125" s="2128"/>
      <c r="AV125" s="2128"/>
      <c r="AW125" s="2128"/>
      <c r="AX125" s="2128"/>
      <c r="AY125" s="2128"/>
      <c r="AZ125" s="2128"/>
      <c r="BA125" s="2128"/>
      <c r="BB125" s="2128"/>
      <c r="BC125" s="2128"/>
      <c r="BD125" s="2129"/>
      <c r="BE125" s="1193"/>
    </row>
    <row r="126" spans="1:57" ht="15.75" customHeight="1">
      <c r="A126" s="1189"/>
      <c r="B126" s="2133" t="s">
        <v>1575</v>
      </c>
      <c r="C126" s="2134"/>
      <c r="D126" s="2134"/>
      <c r="E126" s="2134"/>
      <c r="F126" s="2134"/>
      <c r="G126" s="2134"/>
      <c r="H126" s="2134"/>
      <c r="I126" s="2134"/>
      <c r="J126" s="2134"/>
      <c r="K126" s="2134"/>
      <c r="L126" s="2134"/>
      <c r="M126" s="2134"/>
      <c r="N126" s="2134"/>
      <c r="O126" s="2134"/>
      <c r="P126" s="2134"/>
      <c r="Q126" s="2134"/>
      <c r="R126" s="2134"/>
      <c r="S126" s="2134"/>
      <c r="T126" s="2134"/>
      <c r="U126" s="2135"/>
      <c r="V126" s="1189"/>
      <c r="W126" s="1189"/>
      <c r="X126" s="2130"/>
      <c r="Y126" s="2131"/>
      <c r="Z126" s="2131"/>
      <c r="AA126" s="2131"/>
      <c r="AB126" s="2131"/>
      <c r="AC126" s="2131"/>
      <c r="AD126" s="2131"/>
      <c r="AE126" s="2131"/>
      <c r="AF126" s="2131"/>
      <c r="AG126" s="2131"/>
      <c r="AH126" s="2131"/>
      <c r="AI126" s="2131"/>
      <c r="AJ126" s="2131"/>
      <c r="AK126" s="2131"/>
      <c r="AL126" s="2131"/>
      <c r="AM126" s="2131"/>
      <c r="AN126" s="2131"/>
      <c r="AO126" s="2131"/>
      <c r="AP126" s="2131"/>
      <c r="AQ126" s="2131"/>
      <c r="AR126" s="2131"/>
      <c r="AS126" s="2131"/>
      <c r="AT126" s="2131"/>
      <c r="AU126" s="2131"/>
      <c r="AV126" s="2131"/>
      <c r="AW126" s="2131"/>
      <c r="AX126" s="2131"/>
      <c r="AY126" s="2131"/>
      <c r="AZ126" s="2131"/>
      <c r="BA126" s="2131"/>
      <c r="BB126" s="2131"/>
      <c r="BC126" s="2131"/>
      <c r="BD126" s="2132"/>
      <c r="BE126" s="1193"/>
    </row>
    <row r="127" spans="1:57" ht="15.75" customHeight="1">
      <c r="A127" s="1189"/>
      <c r="B127" s="2043"/>
      <c r="C127" s="2044"/>
      <c r="D127" s="2044"/>
      <c r="E127" s="2044"/>
      <c r="F127" s="2044"/>
      <c r="G127" s="2044"/>
      <c r="H127" s="2044"/>
      <c r="I127" s="2106" t="s">
        <v>2362</v>
      </c>
      <c r="J127" s="2106"/>
      <c r="K127" s="2106"/>
      <c r="L127" s="2106"/>
      <c r="M127" s="2106"/>
      <c r="N127" s="2106"/>
      <c r="O127" s="2107" t="s">
        <v>2361</v>
      </c>
      <c r="P127" s="2107"/>
      <c r="Q127" s="2107"/>
      <c r="R127" s="2107"/>
      <c r="S127" s="2107"/>
      <c r="T127" s="2107"/>
      <c r="U127" s="2108"/>
      <c r="V127" s="1189"/>
      <c r="W127" s="1189"/>
      <c r="X127" s="2046" t="s">
        <v>2331</v>
      </c>
      <c r="Y127" s="2047"/>
      <c r="Z127" s="2047"/>
      <c r="AA127" s="2047"/>
      <c r="AB127" s="2047"/>
      <c r="AC127" s="2047"/>
      <c r="AD127" s="2047"/>
      <c r="AE127" s="2047"/>
      <c r="AF127" s="2047"/>
      <c r="AG127" s="2047"/>
      <c r="AH127" s="2047"/>
      <c r="AI127" s="2047"/>
      <c r="AJ127" s="2047"/>
      <c r="AK127" s="2047"/>
      <c r="AL127" s="2047"/>
      <c r="AM127" s="2047"/>
      <c r="AN127" s="2047"/>
      <c r="AO127" s="2047"/>
      <c r="AP127" s="2047"/>
      <c r="AQ127" s="2047"/>
      <c r="AR127" s="2047"/>
      <c r="AS127" s="2047"/>
      <c r="AT127" s="2047"/>
      <c r="AU127" s="2047"/>
      <c r="AV127" s="2047"/>
      <c r="AW127" s="2047"/>
      <c r="AX127" s="2047"/>
      <c r="AY127" s="2047"/>
      <c r="AZ127" s="2047"/>
      <c r="BA127" s="2047"/>
      <c r="BB127" s="2047"/>
      <c r="BC127" s="2047"/>
      <c r="BD127" s="2048"/>
      <c r="BE127" s="1193"/>
    </row>
    <row r="128" spans="1:57" ht="15.75" customHeight="1">
      <c r="A128" s="1189"/>
      <c r="B128" s="2077" t="s">
        <v>2345</v>
      </c>
      <c r="C128" s="2078"/>
      <c r="D128" s="2078"/>
      <c r="E128" s="2078"/>
      <c r="F128" s="2078"/>
      <c r="G128" s="2078"/>
      <c r="H128" s="2078"/>
      <c r="I128" s="2079">
        <v>0</v>
      </c>
      <c r="J128" s="2079"/>
      <c r="K128" s="2079"/>
      <c r="L128" s="2079"/>
      <c r="M128" s="2079"/>
      <c r="N128" s="2079"/>
      <c r="O128" s="2079">
        <v>0</v>
      </c>
      <c r="P128" s="2079"/>
      <c r="Q128" s="2079"/>
      <c r="R128" s="2079"/>
      <c r="S128" s="2079"/>
      <c r="T128" s="2079"/>
      <c r="U128" s="2080"/>
      <c r="V128" s="1189"/>
      <c r="W128" s="1189"/>
      <c r="X128" s="2046"/>
      <c r="Y128" s="2047"/>
      <c r="Z128" s="2047"/>
      <c r="AA128" s="2047"/>
      <c r="AB128" s="2047"/>
      <c r="AC128" s="2047"/>
      <c r="AD128" s="2047"/>
      <c r="AE128" s="2047"/>
      <c r="AF128" s="2047"/>
      <c r="AG128" s="2047"/>
      <c r="AH128" s="2047"/>
      <c r="AI128" s="2047"/>
      <c r="AJ128" s="2047"/>
      <c r="AK128" s="2047"/>
      <c r="AL128" s="2047"/>
      <c r="AM128" s="2047"/>
      <c r="AN128" s="2047"/>
      <c r="AO128" s="2047"/>
      <c r="AP128" s="2047"/>
      <c r="AQ128" s="2047"/>
      <c r="AR128" s="2047"/>
      <c r="AS128" s="2047"/>
      <c r="AT128" s="2047"/>
      <c r="AU128" s="2047"/>
      <c r="AV128" s="2047"/>
      <c r="AW128" s="2047"/>
      <c r="AX128" s="2047"/>
      <c r="AY128" s="2047"/>
      <c r="AZ128" s="2047"/>
      <c r="BA128" s="2047"/>
      <c r="BB128" s="2047"/>
      <c r="BC128" s="2047"/>
      <c r="BD128" s="2048"/>
      <c r="BE128" s="1193"/>
    </row>
    <row r="129" spans="1:57" ht="15.75" customHeight="1" thickBot="1">
      <c r="A129" s="1189"/>
      <c r="B129" s="2071" t="s">
        <v>2344</v>
      </c>
      <c r="C129" s="2072"/>
      <c r="D129" s="2072"/>
      <c r="E129" s="2072"/>
      <c r="F129" s="2072"/>
      <c r="G129" s="2072"/>
      <c r="H129" s="2072"/>
      <c r="I129" s="2073">
        <v>0</v>
      </c>
      <c r="J129" s="2073"/>
      <c r="K129" s="2073"/>
      <c r="L129" s="2073"/>
      <c r="M129" s="2073"/>
      <c r="N129" s="2073"/>
      <c r="O129" s="2109"/>
      <c r="P129" s="2109"/>
      <c r="Q129" s="2109"/>
      <c r="R129" s="2109"/>
      <c r="S129" s="2109"/>
      <c r="T129" s="2109"/>
      <c r="U129" s="2110"/>
      <c r="V129" s="1189"/>
      <c r="W129" s="1189"/>
      <c r="X129" s="2046"/>
      <c r="Y129" s="2047"/>
      <c r="Z129" s="2047"/>
      <c r="AA129" s="2047"/>
      <c r="AB129" s="2047"/>
      <c r="AC129" s="2047"/>
      <c r="AD129" s="2047"/>
      <c r="AE129" s="2047"/>
      <c r="AF129" s="2047"/>
      <c r="AG129" s="2047"/>
      <c r="AH129" s="2047"/>
      <c r="AI129" s="2047"/>
      <c r="AJ129" s="2047"/>
      <c r="AK129" s="2047"/>
      <c r="AL129" s="2047"/>
      <c r="AM129" s="2047"/>
      <c r="AN129" s="2047"/>
      <c r="AO129" s="2047"/>
      <c r="AP129" s="2047"/>
      <c r="AQ129" s="2047"/>
      <c r="AR129" s="2047"/>
      <c r="AS129" s="2047"/>
      <c r="AT129" s="2047"/>
      <c r="AU129" s="2047"/>
      <c r="AV129" s="2047"/>
      <c r="AW129" s="2047"/>
      <c r="AX129" s="2047"/>
      <c r="AY129" s="2047"/>
      <c r="AZ129" s="2047"/>
      <c r="BA129" s="2047"/>
      <c r="BB129" s="2047"/>
      <c r="BC129" s="2047"/>
      <c r="BD129" s="2048"/>
      <c r="BE129" s="1193"/>
    </row>
    <row r="130" spans="1:57" ht="15.75" customHeight="1" thickBot="1">
      <c r="A130" s="1189"/>
      <c r="B130" s="1189"/>
      <c r="C130" s="1189"/>
      <c r="D130" s="1189"/>
      <c r="E130" s="1189"/>
      <c r="F130" s="1189"/>
      <c r="G130" s="1189"/>
      <c r="H130" s="1189"/>
      <c r="I130" s="1189"/>
      <c r="J130" s="1189"/>
      <c r="K130" s="1189"/>
      <c r="L130" s="1189"/>
      <c r="M130" s="1189"/>
      <c r="N130" s="1189"/>
      <c r="O130" s="1189"/>
      <c r="P130" s="1189"/>
      <c r="Q130" s="1189"/>
      <c r="R130" s="1189"/>
      <c r="S130" s="1189"/>
      <c r="T130" s="1189"/>
      <c r="U130" s="1189"/>
      <c r="V130" s="1189"/>
      <c r="W130" s="1189"/>
      <c r="X130" s="2046"/>
      <c r="Y130" s="2047"/>
      <c r="Z130" s="2047"/>
      <c r="AA130" s="2047"/>
      <c r="AB130" s="2047"/>
      <c r="AC130" s="2047"/>
      <c r="AD130" s="2047"/>
      <c r="AE130" s="2047"/>
      <c r="AF130" s="2047"/>
      <c r="AG130" s="2047"/>
      <c r="AH130" s="2047"/>
      <c r="AI130" s="2047"/>
      <c r="AJ130" s="2047"/>
      <c r="AK130" s="2047"/>
      <c r="AL130" s="2047"/>
      <c r="AM130" s="2047"/>
      <c r="AN130" s="2047"/>
      <c r="AO130" s="2047"/>
      <c r="AP130" s="2047"/>
      <c r="AQ130" s="2047"/>
      <c r="AR130" s="2047"/>
      <c r="AS130" s="2047"/>
      <c r="AT130" s="2047"/>
      <c r="AU130" s="2047"/>
      <c r="AV130" s="2047"/>
      <c r="AW130" s="2047"/>
      <c r="AX130" s="2047"/>
      <c r="AY130" s="2047"/>
      <c r="AZ130" s="2047"/>
      <c r="BA130" s="2047"/>
      <c r="BB130" s="2047"/>
      <c r="BC130" s="2047"/>
      <c r="BD130" s="2048"/>
      <c r="BE130" s="1193"/>
    </row>
    <row r="131" spans="1:57" ht="15.75" customHeight="1" thickBot="1">
      <c r="A131" s="1189"/>
      <c r="B131" s="1208" t="s">
        <v>2360</v>
      </c>
      <c r="C131" s="1209"/>
      <c r="D131" s="1209"/>
      <c r="E131" s="1209"/>
      <c r="F131" s="1209"/>
      <c r="G131" s="1209"/>
      <c r="H131" s="1209"/>
      <c r="I131" s="1209"/>
      <c r="J131" s="1209"/>
      <c r="K131" s="1209"/>
      <c r="L131" s="1209"/>
      <c r="M131" s="1209"/>
      <c r="N131" s="1209"/>
      <c r="O131" s="1209"/>
      <c r="P131" s="1210"/>
      <c r="Q131" s="1194" t="s">
        <v>250</v>
      </c>
      <c r="R131" s="1194" t="s">
        <v>250</v>
      </c>
      <c r="S131" s="1189"/>
      <c r="T131" s="1189"/>
      <c r="U131" s="1189"/>
      <c r="V131" s="1189" t="s">
        <v>250</v>
      </c>
      <c r="W131" s="1189"/>
      <c r="X131" s="2046"/>
      <c r="Y131" s="2047"/>
      <c r="Z131" s="2047"/>
      <c r="AA131" s="2047"/>
      <c r="AB131" s="2047"/>
      <c r="AC131" s="2047"/>
      <c r="AD131" s="2047"/>
      <c r="AE131" s="2047"/>
      <c r="AF131" s="2047"/>
      <c r="AG131" s="2047"/>
      <c r="AH131" s="2047"/>
      <c r="AI131" s="2047"/>
      <c r="AJ131" s="2047"/>
      <c r="AK131" s="2047"/>
      <c r="AL131" s="2047"/>
      <c r="AM131" s="2047"/>
      <c r="AN131" s="2047"/>
      <c r="AO131" s="2047"/>
      <c r="AP131" s="2047"/>
      <c r="AQ131" s="2047"/>
      <c r="AR131" s="2047"/>
      <c r="AS131" s="2047"/>
      <c r="AT131" s="2047"/>
      <c r="AU131" s="2047"/>
      <c r="AV131" s="2047"/>
      <c r="AW131" s="2047"/>
      <c r="AX131" s="2047"/>
      <c r="AY131" s="2047"/>
      <c r="AZ131" s="2047"/>
      <c r="BA131" s="2047"/>
      <c r="BB131" s="2047"/>
      <c r="BC131" s="2047"/>
      <c r="BD131" s="2048"/>
      <c r="BE131" s="1193"/>
    </row>
    <row r="132" spans="1:57" ht="15.75" customHeight="1" thickBot="1">
      <c r="A132" s="1189"/>
      <c r="B132" s="1189"/>
      <c r="C132" s="1189"/>
      <c r="D132" s="1189"/>
      <c r="E132" s="1189"/>
      <c r="F132" s="1189"/>
      <c r="G132" s="1189"/>
      <c r="H132" s="1189"/>
      <c r="I132" s="1189"/>
      <c r="J132" s="1189"/>
      <c r="K132" s="1189"/>
      <c r="L132" s="1189"/>
      <c r="M132" s="1189"/>
      <c r="N132" s="1189"/>
      <c r="O132" s="1189"/>
      <c r="P132" s="1189"/>
      <c r="Q132" s="1189"/>
      <c r="R132" s="1189"/>
      <c r="S132" s="1189"/>
      <c r="T132" s="1189"/>
      <c r="U132" s="1189"/>
      <c r="V132" s="1189"/>
      <c r="W132" s="1189"/>
      <c r="X132" s="2046"/>
      <c r="Y132" s="2047"/>
      <c r="Z132" s="2047"/>
      <c r="AA132" s="2047"/>
      <c r="AB132" s="2047"/>
      <c r="AC132" s="2047"/>
      <c r="AD132" s="2047"/>
      <c r="AE132" s="2047"/>
      <c r="AF132" s="2047"/>
      <c r="AG132" s="2047"/>
      <c r="AH132" s="2047"/>
      <c r="AI132" s="2047"/>
      <c r="AJ132" s="2047"/>
      <c r="AK132" s="2047"/>
      <c r="AL132" s="2047"/>
      <c r="AM132" s="2047"/>
      <c r="AN132" s="2047"/>
      <c r="AO132" s="2047"/>
      <c r="AP132" s="2047"/>
      <c r="AQ132" s="2047"/>
      <c r="AR132" s="2047"/>
      <c r="AS132" s="2047"/>
      <c r="AT132" s="2047"/>
      <c r="AU132" s="2047"/>
      <c r="AV132" s="2047"/>
      <c r="AW132" s="2047"/>
      <c r="AX132" s="2047"/>
      <c r="AY132" s="2047"/>
      <c r="AZ132" s="2047"/>
      <c r="BA132" s="2047"/>
      <c r="BB132" s="2047"/>
      <c r="BC132" s="2047"/>
      <c r="BD132" s="2048"/>
      <c r="BE132" s="1193"/>
    </row>
    <row r="133" spans="1:57" ht="15.75" customHeight="1">
      <c r="A133" s="1189"/>
      <c r="B133" s="2103" t="s">
        <v>2359</v>
      </c>
      <c r="C133" s="2104"/>
      <c r="D133" s="2104"/>
      <c r="E133" s="2104"/>
      <c r="F133" s="2104"/>
      <c r="G133" s="2104"/>
      <c r="H133" s="2104"/>
      <c r="I133" s="2104"/>
      <c r="J133" s="2104"/>
      <c r="K133" s="2104"/>
      <c r="L133" s="2104"/>
      <c r="M133" s="2104"/>
      <c r="N133" s="2104"/>
      <c r="O133" s="2104"/>
      <c r="P133" s="2104"/>
      <c r="Q133" s="2104"/>
      <c r="R133" s="2104"/>
      <c r="S133" s="2104"/>
      <c r="T133" s="2104"/>
      <c r="U133" s="2105"/>
      <c r="V133" s="1189"/>
      <c r="W133" s="1189"/>
      <c r="X133" s="2046"/>
      <c r="Y133" s="2047"/>
      <c r="Z133" s="2047"/>
      <c r="AA133" s="2047"/>
      <c r="AB133" s="2047"/>
      <c r="AC133" s="2047"/>
      <c r="AD133" s="2047"/>
      <c r="AE133" s="2047"/>
      <c r="AF133" s="2047"/>
      <c r="AG133" s="2047"/>
      <c r="AH133" s="2047"/>
      <c r="AI133" s="2047"/>
      <c r="AJ133" s="2047"/>
      <c r="AK133" s="2047"/>
      <c r="AL133" s="2047"/>
      <c r="AM133" s="2047"/>
      <c r="AN133" s="2047"/>
      <c r="AO133" s="2047"/>
      <c r="AP133" s="2047"/>
      <c r="AQ133" s="2047"/>
      <c r="AR133" s="2047"/>
      <c r="AS133" s="2047"/>
      <c r="AT133" s="2047"/>
      <c r="AU133" s="2047"/>
      <c r="AV133" s="2047"/>
      <c r="AW133" s="2047"/>
      <c r="AX133" s="2047"/>
      <c r="AY133" s="2047"/>
      <c r="AZ133" s="2047"/>
      <c r="BA133" s="2047"/>
      <c r="BB133" s="2047"/>
      <c r="BC133" s="2047"/>
      <c r="BD133" s="2048"/>
      <c r="BE133" s="1193"/>
    </row>
    <row r="134" spans="1:57" ht="15.75" customHeight="1">
      <c r="A134" s="1189"/>
      <c r="B134" s="2043"/>
      <c r="C134" s="2044"/>
      <c r="D134" s="2044"/>
      <c r="E134" s="2044"/>
      <c r="F134" s="2044"/>
      <c r="G134" s="2044"/>
      <c r="H134" s="2044"/>
      <c r="I134" s="2081" t="s">
        <v>2347</v>
      </c>
      <c r="J134" s="2081"/>
      <c r="K134" s="2081"/>
      <c r="L134" s="2081"/>
      <c r="M134" s="2081"/>
      <c r="N134" s="2081"/>
      <c r="O134" s="2081"/>
      <c r="P134" s="2081" t="s">
        <v>2346</v>
      </c>
      <c r="Q134" s="2081"/>
      <c r="R134" s="2081"/>
      <c r="S134" s="2081"/>
      <c r="T134" s="2081"/>
      <c r="U134" s="2082"/>
      <c r="V134" s="1189"/>
      <c r="W134" s="1189"/>
      <c r="X134" s="2046"/>
      <c r="Y134" s="2047"/>
      <c r="Z134" s="2047"/>
      <c r="AA134" s="2047"/>
      <c r="AB134" s="2047"/>
      <c r="AC134" s="2047"/>
      <c r="AD134" s="2047"/>
      <c r="AE134" s="2047"/>
      <c r="AF134" s="2047"/>
      <c r="AG134" s="2047"/>
      <c r="AH134" s="2047"/>
      <c r="AI134" s="2047"/>
      <c r="AJ134" s="2047"/>
      <c r="AK134" s="2047"/>
      <c r="AL134" s="2047"/>
      <c r="AM134" s="2047"/>
      <c r="AN134" s="2047"/>
      <c r="AO134" s="2047"/>
      <c r="AP134" s="2047"/>
      <c r="AQ134" s="2047"/>
      <c r="AR134" s="2047"/>
      <c r="AS134" s="2047"/>
      <c r="AT134" s="2047"/>
      <c r="AU134" s="2047"/>
      <c r="AV134" s="2047"/>
      <c r="AW134" s="2047"/>
      <c r="AX134" s="2047"/>
      <c r="AY134" s="2047"/>
      <c r="AZ134" s="2047"/>
      <c r="BA134" s="2047"/>
      <c r="BB134" s="2047"/>
      <c r="BC134" s="2047"/>
      <c r="BD134" s="2048"/>
      <c r="BE134" s="1193"/>
    </row>
    <row r="135" spans="1:57" ht="15.75" customHeight="1">
      <c r="A135" s="1189"/>
      <c r="B135" s="2043"/>
      <c r="C135" s="2044"/>
      <c r="D135" s="2044"/>
      <c r="E135" s="2044"/>
      <c r="F135" s="2044"/>
      <c r="G135" s="2044"/>
      <c r="H135" s="2044"/>
      <c r="I135" s="2081"/>
      <c r="J135" s="2081"/>
      <c r="K135" s="2081"/>
      <c r="L135" s="2081"/>
      <c r="M135" s="2081"/>
      <c r="N135" s="2081"/>
      <c r="O135" s="2081"/>
      <c r="P135" s="2081"/>
      <c r="Q135" s="2081"/>
      <c r="R135" s="2081"/>
      <c r="S135" s="2081"/>
      <c r="T135" s="2081"/>
      <c r="U135" s="2082"/>
      <c r="V135" s="1189"/>
      <c r="W135" s="1189"/>
      <c r="X135" s="2046"/>
      <c r="Y135" s="2047"/>
      <c r="Z135" s="2047"/>
      <c r="AA135" s="2047"/>
      <c r="AB135" s="2047"/>
      <c r="AC135" s="2047"/>
      <c r="AD135" s="2047"/>
      <c r="AE135" s="2047"/>
      <c r="AF135" s="2047"/>
      <c r="AG135" s="2047"/>
      <c r="AH135" s="2047"/>
      <c r="AI135" s="2047"/>
      <c r="AJ135" s="2047"/>
      <c r="AK135" s="2047"/>
      <c r="AL135" s="2047"/>
      <c r="AM135" s="2047"/>
      <c r="AN135" s="2047"/>
      <c r="AO135" s="2047"/>
      <c r="AP135" s="2047"/>
      <c r="AQ135" s="2047"/>
      <c r="AR135" s="2047"/>
      <c r="AS135" s="2047"/>
      <c r="AT135" s="2047"/>
      <c r="AU135" s="2047"/>
      <c r="AV135" s="2047"/>
      <c r="AW135" s="2047"/>
      <c r="AX135" s="2047"/>
      <c r="AY135" s="2047"/>
      <c r="AZ135" s="2047"/>
      <c r="BA135" s="2047"/>
      <c r="BB135" s="2047"/>
      <c r="BC135" s="2047"/>
      <c r="BD135" s="2048"/>
      <c r="BE135" s="1193"/>
    </row>
    <row r="136" spans="1:57" ht="15.75" customHeight="1">
      <c r="A136" s="1189"/>
      <c r="B136" s="2077" t="s">
        <v>2345</v>
      </c>
      <c r="C136" s="2078"/>
      <c r="D136" s="2078"/>
      <c r="E136" s="2078"/>
      <c r="F136" s="2078"/>
      <c r="G136" s="2078"/>
      <c r="H136" s="2078"/>
      <c r="I136" s="2079">
        <v>0</v>
      </c>
      <c r="J136" s="2079"/>
      <c r="K136" s="2079"/>
      <c r="L136" s="2079"/>
      <c r="M136" s="2079"/>
      <c r="N136" s="2079"/>
      <c r="O136" s="2079"/>
      <c r="P136" s="2079">
        <v>0</v>
      </c>
      <c r="Q136" s="2079"/>
      <c r="R136" s="2079"/>
      <c r="S136" s="2079"/>
      <c r="T136" s="2079"/>
      <c r="U136" s="2080"/>
      <c r="V136" s="1189"/>
      <c r="W136" s="1189"/>
      <c r="X136" s="2046"/>
      <c r="Y136" s="2047"/>
      <c r="Z136" s="2047"/>
      <c r="AA136" s="2047"/>
      <c r="AB136" s="2047"/>
      <c r="AC136" s="2047"/>
      <c r="AD136" s="2047"/>
      <c r="AE136" s="2047"/>
      <c r="AF136" s="2047"/>
      <c r="AG136" s="2047"/>
      <c r="AH136" s="2047"/>
      <c r="AI136" s="2047"/>
      <c r="AJ136" s="2047"/>
      <c r="AK136" s="2047"/>
      <c r="AL136" s="2047"/>
      <c r="AM136" s="2047"/>
      <c r="AN136" s="2047"/>
      <c r="AO136" s="2047"/>
      <c r="AP136" s="2047"/>
      <c r="AQ136" s="2047"/>
      <c r="AR136" s="2047"/>
      <c r="AS136" s="2047"/>
      <c r="AT136" s="2047"/>
      <c r="AU136" s="2047"/>
      <c r="AV136" s="2047"/>
      <c r="AW136" s="2047"/>
      <c r="AX136" s="2047"/>
      <c r="AY136" s="2047"/>
      <c r="AZ136" s="2047"/>
      <c r="BA136" s="2047"/>
      <c r="BB136" s="2047"/>
      <c r="BC136" s="2047"/>
      <c r="BD136" s="2048"/>
      <c r="BE136" s="1193"/>
    </row>
    <row r="137" spans="1:57" ht="15.75" customHeight="1" thickBot="1">
      <c r="A137" s="1189"/>
      <c r="B137" s="2071" t="s">
        <v>2344</v>
      </c>
      <c r="C137" s="2072"/>
      <c r="D137" s="2072"/>
      <c r="E137" s="2072"/>
      <c r="F137" s="2072"/>
      <c r="G137" s="2072"/>
      <c r="H137" s="2072"/>
      <c r="I137" s="2073">
        <v>0</v>
      </c>
      <c r="J137" s="2073"/>
      <c r="K137" s="2073"/>
      <c r="L137" s="2073"/>
      <c r="M137" s="2073"/>
      <c r="N137" s="2073"/>
      <c r="O137" s="2073"/>
      <c r="P137" s="2073">
        <v>0</v>
      </c>
      <c r="Q137" s="2073"/>
      <c r="R137" s="2073"/>
      <c r="S137" s="2073"/>
      <c r="T137" s="2073"/>
      <c r="U137" s="2074"/>
      <c r="V137" s="1189"/>
      <c r="W137" s="1189"/>
      <c r="X137" s="2049"/>
      <c r="Y137" s="2050"/>
      <c r="Z137" s="2050"/>
      <c r="AA137" s="2050"/>
      <c r="AB137" s="2050"/>
      <c r="AC137" s="2050"/>
      <c r="AD137" s="2050"/>
      <c r="AE137" s="2050"/>
      <c r="AF137" s="2050"/>
      <c r="AG137" s="2050"/>
      <c r="AH137" s="2050"/>
      <c r="AI137" s="2050"/>
      <c r="AJ137" s="2050"/>
      <c r="AK137" s="2050"/>
      <c r="AL137" s="2050"/>
      <c r="AM137" s="2050"/>
      <c r="AN137" s="2050"/>
      <c r="AO137" s="2050"/>
      <c r="AP137" s="2050"/>
      <c r="AQ137" s="2050"/>
      <c r="AR137" s="2050"/>
      <c r="AS137" s="2050"/>
      <c r="AT137" s="2050"/>
      <c r="AU137" s="2050"/>
      <c r="AV137" s="2050"/>
      <c r="AW137" s="2050"/>
      <c r="AX137" s="2050"/>
      <c r="AY137" s="2050"/>
      <c r="AZ137" s="2050"/>
      <c r="BA137" s="2050"/>
      <c r="BB137" s="2050"/>
      <c r="BC137" s="2050"/>
      <c r="BD137" s="2051"/>
      <c r="BE137" s="1193"/>
    </row>
    <row r="138" spans="1:57" ht="15.75" customHeight="1" thickBot="1">
      <c r="A138" s="1189"/>
      <c r="B138" s="1189"/>
      <c r="C138" s="1189"/>
      <c r="D138" s="1189"/>
      <c r="E138" s="1189"/>
      <c r="F138" s="1189"/>
      <c r="G138" s="1189"/>
      <c r="H138" s="1189"/>
      <c r="I138" s="1189"/>
      <c r="J138" s="1189"/>
      <c r="K138" s="1189"/>
      <c r="L138" s="1189"/>
      <c r="M138" s="1189"/>
      <c r="N138" s="1189"/>
      <c r="O138" s="1189"/>
      <c r="P138" s="1189"/>
      <c r="Q138" s="1224"/>
      <c r="R138" s="1189"/>
      <c r="S138" s="1189"/>
      <c r="T138" s="1189"/>
      <c r="U138" s="1189"/>
      <c r="V138" s="1189"/>
      <c r="W138" s="1189"/>
      <c r="X138" s="1189"/>
      <c r="Y138" s="1189"/>
      <c r="Z138" s="1189"/>
      <c r="AA138" s="1189"/>
      <c r="AB138" s="1189"/>
      <c r="AC138" s="1189"/>
      <c r="AD138" s="1189"/>
      <c r="AE138" s="1189"/>
      <c r="AF138" s="1189"/>
      <c r="AG138" s="1189"/>
      <c r="AH138" s="1189"/>
      <c r="AI138" s="1189"/>
      <c r="AJ138" s="1189"/>
      <c r="AK138" s="1189"/>
      <c r="AL138" s="1189"/>
      <c r="AM138" s="1189"/>
      <c r="AN138" s="1189"/>
      <c r="AO138" s="1189"/>
      <c r="AP138" s="1189"/>
      <c r="AQ138" s="1189"/>
      <c r="AR138" s="1189"/>
      <c r="AS138" s="1189"/>
      <c r="AT138" s="1189"/>
      <c r="AU138" s="1189"/>
      <c r="AV138" s="1189"/>
      <c r="AW138" s="1189"/>
      <c r="AX138" s="1189"/>
      <c r="AY138" s="1189"/>
      <c r="AZ138" s="1189"/>
      <c r="BA138" s="1189"/>
      <c r="BB138" s="1189"/>
      <c r="BC138" s="1189"/>
      <c r="BD138" s="1189"/>
      <c r="BE138" s="1193"/>
    </row>
    <row r="139" spans="1:57" ht="15.75" customHeight="1">
      <c r="A139" s="1189"/>
      <c r="B139" s="2098" t="s">
        <v>2358</v>
      </c>
      <c r="C139" s="2099"/>
      <c r="D139" s="2099"/>
      <c r="E139" s="2099"/>
      <c r="F139" s="2099"/>
      <c r="G139" s="2099"/>
      <c r="H139" s="2099"/>
      <c r="I139" s="2099"/>
      <c r="J139" s="2099"/>
      <c r="K139" s="2099"/>
      <c r="L139" s="2099"/>
      <c r="M139" s="2099"/>
      <c r="N139" s="2099"/>
      <c r="O139" s="2099"/>
      <c r="P139" s="2099"/>
      <c r="Q139" s="2099"/>
      <c r="R139" s="2099"/>
      <c r="S139" s="2099"/>
      <c r="T139" s="2099"/>
      <c r="U139" s="2099"/>
      <c r="V139" s="2099"/>
      <c r="W139" s="2099"/>
      <c r="X139" s="2099"/>
      <c r="Y139" s="2099"/>
      <c r="Z139" s="2099"/>
      <c r="AA139" s="2099"/>
      <c r="AB139" s="2099"/>
      <c r="AC139" s="2099"/>
      <c r="AD139" s="2099"/>
      <c r="AE139" s="2099"/>
      <c r="AF139" s="2099"/>
      <c r="AG139" s="2099"/>
      <c r="AH139" s="2086" t="s">
        <v>545</v>
      </c>
      <c r="AI139" s="2086"/>
      <c r="AJ139" s="2086"/>
      <c r="AK139" s="2086"/>
      <c r="AL139" s="2086"/>
      <c r="AM139" s="2086"/>
      <c r="AN139" s="2086"/>
      <c r="AO139" s="2086"/>
      <c r="AP139" s="2086"/>
      <c r="AQ139" s="2086"/>
      <c r="AR139" s="2086"/>
      <c r="AS139" s="2086"/>
      <c r="AT139" s="2086"/>
      <c r="AU139" s="2086"/>
      <c r="AV139" s="2086"/>
      <c r="AW139" s="2086"/>
      <c r="AX139" s="2087"/>
      <c r="AY139" s="1189"/>
      <c r="AZ139" s="1189"/>
      <c r="BA139" s="1189"/>
      <c r="BB139" s="1189"/>
      <c r="BC139" s="1189"/>
      <c r="BD139" s="1189"/>
      <c r="BE139" s="1193"/>
    </row>
    <row r="140" spans="1:57" ht="15.75" customHeight="1" thickBot="1">
      <c r="A140" s="1189"/>
      <c r="B140" s="2083" t="s">
        <v>2357</v>
      </c>
      <c r="C140" s="2084"/>
      <c r="D140" s="2084"/>
      <c r="E140" s="2084"/>
      <c r="F140" s="2084"/>
      <c r="G140" s="2084"/>
      <c r="H140" s="2084"/>
      <c r="I140" s="2084"/>
      <c r="J140" s="2084"/>
      <c r="K140" s="2084"/>
      <c r="L140" s="2084"/>
      <c r="M140" s="2084"/>
      <c r="N140" s="2084"/>
      <c r="O140" s="2084"/>
      <c r="P140" s="2084"/>
      <c r="Q140" s="2084"/>
      <c r="R140" s="2084"/>
      <c r="S140" s="2084"/>
      <c r="T140" s="2084"/>
      <c r="U140" s="2084"/>
      <c r="V140" s="2084"/>
      <c r="W140" s="2084"/>
      <c r="X140" s="2084"/>
      <c r="Y140" s="2084"/>
      <c r="Z140" s="2084"/>
      <c r="AA140" s="2084"/>
      <c r="AB140" s="2084"/>
      <c r="AC140" s="2084"/>
      <c r="AD140" s="2084"/>
      <c r="AE140" s="2084"/>
      <c r="AF140" s="2084"/>
      <c r="AG140" s="2085"/>
      <c r="AH140" s="2100"/>
      <c r="AI140" s="2101"/>
      <c r="AJ140" s="2101"/>
      <c r="AK140" s="2101"/>
      <c r="AL140" s="2101"/>
      <c r="AM140" s="2101"/>
      <c r="AN140" s="2101"/>
      <c r="AO140" s="2101"/>
      <c r="AP140" s="2101"/>
      <c r="AQ140" s="2101"/>
      <c r="AR140" s="2101"/>
      <c r="AS140" s="2101"/>
      <c r="AT140" s="2101"/>
      <c r="AU140" s="2101"/>
      <c r="AV140" s="2101"/>
      <c r="AW140" s="2101"/>
      <c r="AX140" s="2102"/>
      <c r="AY140" s="1189"/>
      <c r="AZ140" s="1189"/>
      <c r="BA140" s="1189"/>
      <c r="BB140" s="1189"/>
      <c r="BC140" s="1189"/>
      <c r="BD140" s="1189"/>
      <c r="BE140" s="1193"/>
    </row>
    <row r="141" spans="1:57" ht="15.75" customHeight="1">
      <c r="A141" s="1189"/>
      <c r="B141" s="2083" t="s">
        <v>2356</v>
      </c>
      <c r="C141" s="2084"/>
      <c r="D141" s="2084"/>
      <c r="E141" s="2084"/>
      <c r="F141" s="2084"/>
      <c r="G141" s="2084"/>
      <c r="H141" s="2084"/>
      <c r="I141" s="2084"/>
      <c r="J141" s="2084"/>
      <c r="K141" s="2084"/>
      <c r="L141" s="2084"/>
      <c r="M141" s="2084"/>
      <c r="N141" s="2084"/>
      <c r="O141" s="2084"/>
      <c r="P141" s="2084"/>
      <c r="Q141" s="2084"/>
      <c r="R141" s="2084"/>
      <c r="S141" s="2084"/>
      <c r="T141" s="2084"/>
      <c r="U141" s="2084"/>
      <c r="V141" s="2084"/>
      <c r="W141" s="2084"/>
      <c r="X141" s="2084"/>
      <c r="Y141" s="2084"/>
      <c r="Z141" s="2084"/>
      <c r="AA141" s="2084"/>
      <c r="AB141" s="2084"/>
      <c r="AC141" s="2084"/>
      <c r="AD141" s="2084"/>
      <c r="AE141" s="2084"/>
      <c r="AF141" s="2084"/>
      <c r="AG141" s="2085"/>
      <c r="AH141" s="2086" t="s">
        <v>545</v>
      </c>
      <c r="AI141" s="2086"/>
      <c r="AJ141" s="2086"/>
      <c r="AK141" s="2086"/>
      <c r="AL141" s="2086"/>
      <c r="AM141" s="2086"/>
      <c r="AN141" s="2086"/>
      <c r="AO141" s="2086"/>
      <c r="AP141" s="2086"/>
      <c r="AQ141" s="2086"/>
      <c r="AR141" s="2086"/>
      <c r="AS141" s="2086"/>
      <c r="AT141" s="2086"/>
      <c r="AU141" s="2086"/>
      <c r="AV141" s="2086"/>
      <c r="AW141" s="2086"/>
      <c r="AX141" s="2087"/>
      <c r="AY141" s="1189"/>
      <c r="AZ141" s="1189"/>
      <c r="BA141" s="1189"/>
      <c r="BB141" s="1189"/>
      <c r="BC141" s="1189"/>
      <c r="BD141" s="1189"/>
      <c r="BE141" s="1193"/>
    </row>
    <row r="142" spans="1:57" ht="15.75" customHeight="1">
      <c r="A142" s="1189"/>
      <c r="B142" s="2088" t="s">
        <v>2355</v>
      </c>
      <c r="C142" s="2089"/>
      <c r="D142" s="2089"/>
      <c r="E142" s="2089"/>
      <c r="F142" s="2089"/>
      <c r="G142" s="2089"/>
      <c r="H142" s="2089"/>
      <c r="I142" s="2089"/>
      <c r="J142" s="2089"/>
      <c r="K142" s="2089"/>
      <c r="L142" s="2089"/>
      <c r="M142" s="2089"/>
      <c r="N142" s="2089"/>
      <c r="O142" s="2089"/>
      <c r="P142" s="2089"/>
      <c r="Q142" s="2089"/>
      <c r="R142" s="2090" t="s">
        <v>2354</v>
      </c>
      <c r="S142" s="2090"/>
      <c r="T142" s="2090"/>
      <c r="U142" s="2090"/>
      <c r="V142" s="2090"/>
      <c r="W142" s="2090"/>
      <c r="X142" s="2090"/>
      <c r="Y142" s="2090"/>
      <c r="Z142" s="2090"/>
      <c r="AA142" s="2090"/>
      <c r="AB142" s="2090"/>
      <c r="AC142" s="2090"/>
      <c r="AD142" s="2090"/>
      <c r="AE142" s="2090"/>
      <c r="AF142" s="2090"/>
      <c r="AG142" s="2090"/>
      <c r="AH142" s="2090"/>
      <c r="AI142" s="2090"/>
      <c r="AJ142" s="2090"/>
      <c r="AK142" s="2090"/>
      <c r="AL142" s="2090"/>
      <c r="AM142" s="2090"/>
      <c r="AN142" s="2090"/>
      <c r="AO142" s="2090"/>
      <c r="AP142" s="2090"/>
      <c r="AQ142" s="2090"/>
      <c r="AR142" s="2090"/>
      <c r="AS142" s="2090"/>
      <c r="AT142" s="2090"/>
      <c r="AU142" s="2090"/>
      <c r="AV142" s="2090"/>
      <c r="AW142" s="2090"/>
      <c r="AX142" s="2091"/>
      <c r="AY142" s="1189"/>
      <c r="AZ142" s="1189"/>
      <c r="BA142" s="1189"/>
      <c r="BB142" s="1189"/>
      <c r="BC142" s="1189" t="s">
        <v>250</v>
      </c>
      <c r="BD142" s="1189"/>
      <c r="BE142" s="1193"/>
    </row>
    <row r="143" spans="1:57" ht="15.75" customHeight="1">
      <c r="A143" s="1189"/>
      <c r="B143" s="2092" t="s">
        <v>2353</v>
      </c>
      <c r="C143" s="2093"/>
      <c r="D143" s="2093"/>
      <c r="E143" s="2093"/>
      <c r="F143" s="2093"/>
      <c r="G143" s="2093"/>
      <c r="H143" s="2093"/>
      <c r="I143" s="2093"/>
      <c r="J143" s="2093"/>
      <c r="K143" s="2093"/>
      <c r="L143" s="2093"/>
      <c r="M143" s="2093"/>
      <c r="N143" s="2093"/>
      <c r="O143" s="2093"/>
      <c r="P143" s="2093"/>
      <c r="Q143" s="2093"/>
      <c r="R143" s="2093"/>
      <c r="S143" s="2093"/>
      <c r="T143" s="2093"/>
      <c r="U143" s="2093"/>
      <c r="V143" s="2093"/>
      <c r="W143" s="2093"/>
      <c r="X143" s="2093"/>
      <c r="Y143" s="2093"/>
      <c r="Z143" s="2093"/>
      <c r="AA143" s="2093"/>
      <c r="AB143" s="2093"/>
      <c r="AC143" s="2093"/>
      <c r="AD143" s="2093"/>
      <c r="AE143" s="2093"/>
      <c r="AF143" s="2093"/>
      <c r="AG143" s="2093"/>
      <c r="AH143" s="2093"/>
      <c r="AI143" s="2093"/>
      <c r="AJ143" s="2093"/>
      <c r="AK143" s="2093"/>
      <c r="AL143" s="2093"/>
      <c r="AM143" s="2093"/>
      <c r="AN143" s="2093"/>
      <c r="AO143" s="2093"/>
      <c r="AP143" s="2093"/>
      <c r="AQ143" s="2093"/>
      <c r="AR143" s="2093"/>
      <c r="AS143" s="2093"/>
      <c r="AT143" s="2093"/>
      <c r="AU143" s="2093"/>
      <c r="AV143" s="2093"/>
      <c r="AW143" s="2093"/>
      <c r="AX143" s="2094"/>
      <c r="AY143" s="1189"/>
      <c r="AZ143" s="1189"/>
      <c r="BA143" s="1189"/>
      <c r="BB143" s="1189"/>
      <c r="BC143" s="1189"/>
      <c r="BD143" s="1189"/>
      <c r="BE143" s="1193"/>
    </row>
    <row r="144" spans="1:57" ht="15.75" customHeight="1">
      <c r="A144" s="1189"/>
      <c r="B144" s="2092"/>
      <c r="C144" s="2093"/>
      <c r="D144" s="2093"/>
      <c r="E144" s="2093"/>
      <c r="F144" s="2093"/>
      <c r="G144" s="2093"/>
      <c r="H144" s="2093"/>
      <c r="I144" s="2093"/>
      <c r="J144" s="2093"/>
      <c r="K144" s="2093"/>
      <c r="L144" s="2093"/>
      <c r="M144" s="2093"/>
      <c r="N144" s="2093"/>
      <c r="O144" s="2093"/>
      <c r="P144" s="2093"/>
      <c r="Q144" s="2093"/>
      <c r="R144" s="2093"/>
      <c r="S144" s="2093"/>
      <c r="T144" s="2093"/>
      <c r="U144" s="2093"/>
      <c r="V144" s="2093"/>
      <c r="W144" s="2093"/>
      <c r="X144" s="2093"/>
      <c r="Y144" s="2093"/>
      <c r="Z144" s="2093"/>
      <c r="AA144" s="2093"/>
      <c r="AB144" s="2093"/>
      <c r="AC144" s="2093"/>
      <c r="AD144" s="2093"/>
      <c r="AE144" s="2093"/>
      <c r="AF144" s="2093"/>
      <c r="AG144" s="2093"/>
      <c r="AH144" s="2093"/>
      <c r="AI144" s="2093"/>
      <c r="AJ144" s="2093"/>
      <c r="AK144" s="2093"/>
      <c r="AL144" s="2093"/>
      <c r="AM144" s="2093"/>
      <c r="AN144" s="2093"/>
      <c r="AO144" s="2093"/>
      <c r="AP144" s="2093"/>
      <c r="AQ144" s="2093"/>
      <c r="AR144" s="2093"/>
      <c r="AS144" s="2093"/>
      <c r="AT144" s="2093"/>
      <c r="AU144" s="2093"/>
      <c r="AV144" s="2093"/>
      <c r="AW144" s="2093"/>
      <c r="AX144" s="2094"/>
      <c r="AY144" s="1189"/>
      <c r="AZ144" s="1189"/>
      <c r="BA144" s="1189"/>
      <c r="BB144" s="1189"/>
      <c r="BC144" s="1189"/>
      <c r="BD144" s="1189"/>
      <c r="BE144" s="1193"/>
    </row>
    <row r="145" spans="1:57" ht="15.75" customHeight="1">
      <c r="A145" s="1189"/>
      <c r="B145" s="2092"/>
      <c r="C145" s="2093"/>
      <c r="D145" s="2093"/>
      <c r="E145" s="2093"/>
      <c r="F145" s="2093"/>
      <c r="G145" s="2093"/>
      <c r="H145" s="2093"/>
      <c r="I145" s="2093"/>
      <c r="J145" s="2093"/>
      <c r="K145" s="2093"/>
      <c r="L145" s="2093"/>
      <c r="M145" s="2093"/>
      <c r="N145" s="2093"/>
      <c r="O145" s="2093"/>
      <c r="P145" s="2093"/>
      <c r="Q145" s="2093"/>
      <c r="R145" s="2093"/>
      <c r="S145" s="2093"/>
      <c r="T145" s="2093"/>
      <c r="U145" s="2093"/>
      <c r="V145" s="2093"/>
      <c r="W145" s="2093"/>
      <c r="X145" s="2093"/>
      <c r="Y145" s="2093"/>
      <c r="Z145" s="2093"/>
      <c r="AA145" s="2093"/>
      <c r="AB145" s="2093"/>
      <c r="AC145" s="2093"/>
      <c r="AD145" s="2093"/>
      <c r="AE145" s="2093"/>
      <c r="AF145" s="2093"/>
      <c r="AG145" s="2093"/>
      <c r="AH145" s="2093"/>
      <c r="AI145" s="2093"/>
      <c r="AJ145" s="2093"/>
      <c r="AK145" s="2093"/>
      <c r="AL145" s="2093"/>
      <c r="AM145" s="2093"/>
      <c r="AN145" s="2093"/>
      <c r="AO145" s="2093"/>
      <c r="AP145" s="2093"/>
      <c r="AQ145" s="2093"/>
      <c r="AR145" s="2093"/>
      <c r="AS145" s="2093"/>
      <c r="AT145" s="2093"/>
      <c r="AU145" s="2093"/>
      <c r="AV145" s="2093"/>
      <c r="AW145" s="2093"/>
      <c r="AX145" s="2094"/>
      <c r="AY145" s="1189"/>
      <c r="AZ145" s="1189"/>
      <c r="BA145" s="1189"/>
      <c r="BB145" s="1189"/>
      <c r="BC145" s="1189"/>
      <c r="BD145" s="1189"/>
      <c r="BE145" s="1193"/>
    </row>
    <row r="146" spans="1:57" ht="15.75" customHeight="1">
      <c r="A146" s="1189"/>
      <c r="B146" s="2092"/>
      <c r="C146" s="2093"/>
      <c r="D146" s="2093"/>
      <c r="E146" s="2093"/>
      <c r="F146" s="2093"/>
      <c r="G146" s="2093"/>
      <c r="H146" s="2093"/>
      <c r="I146" s="2093"/>
      <c r="J146" s="2093"/>
      <c r="K146" s="2093"/>
      <c r="L146" s="2093"/>
      <c r="M146" s="2093"/>
      <c r="N146" s="2093"/>
      <c r="O146" s="2093"/>
      <c r="P146" s="2093"/>
      <c r="Q146" s="2093"/>
      <c r="R146" s="2093"/>
      <c r="S146" s="2093"/>
      <c r="T146" s="2093"/>
      <c r="U146" s="2093"/>
      <c r="V146" s="2093"/>
      <c r="W146" s="2093"/>
      <c r="X146" s="2093"/>
      <c r="Y146" s="2093"/>
      <c r="Z146" s="2093"/>
      <c r="AA146" s="2093"/>
      <c r="AB146" s="2093"/>
      <c r="AC146" s="2093"/>
      <c r="AD146" s="2093"/>
      <c r="AE146" s="2093"/>
      <c r="AF146" s="2093"/>
      <c r="AG146" s="2093"/>
      <c r="AH146" s="2093"/>
      <c r="AI146" s="2093"/>
      <c r="AJ146" s="2093"/>
      <c r="AK146" s="2093"/>
      <c r="AL146" s="2093"/>
      <c r="AM146" s="2093"/>
      <c r="AN146" s="2093"/>
      <c r="AO146" s="2093"/>
      <c r="AP146" s="2093"/>
      <c r="AQ146" s="2093"/>
      <c r="AR146" s="2093"/>
      <c r="AS146" s="2093"/>
      <c r="AT146" s="2093"/>
      <c r="AU146" s="2093"/>
      <c r="AV146" s="2093"/>
      <c r="AW146" s="2093"/>
      <c r="AX146" s="2094"/>
      <c r="AY146" s="1189"/>
      <c r="AZ146" s="1189"/>
      <c r="BA146" s="1189"/>
      <c r="BB146" s="1189"/>
      <c r="BC146" s="1189"/>
      <c r="BD146" s="1189"/>
      <c r="BE146" s="1193"/>
    </row>
    <row r="147" spans="1:57" ht="15.75" customHeight="1">
      <c r="A147" s="1189"/>
      <c r="B147" s="2092"/>
      <c r="C147" s="2093"/>
      <c r="D147" s="2093"/>
      <c r="E147" s="2093"/>
      <c r="F147" s="2093"/>
      <c r="G147" s="2093"/>
      <c r="H147" s="2093"/>
      <c r="I147" s="2093"/>
      <c r="J147" s="2093"/>
      <c r="K147" s="2093"/>
      <c r="L147" s="2093"/>
      <c r="M147" s="2093"/>
      <c r="N147" s="2093"/>
      <c r="O147" s="2093"/>
      <c r="P147" s="2093"/>
      <c r="Q147" s="2093"/>
      <c r="R147" s="2093"/>
      <c r="S147" s="2093"/>
      <c r="T147" s="2093"/>
      <c r="U147" s="2093"/>
      <c r="V147" s="2093"/>
      <c r="W147" s="2093"/>
      <c r="X147" s="2093"/>
      <c r="Y147" s="2093"/>
      <c r="Z147" s="2093"/>
      <c r="AA147" s="2093"/>
      <c r="AB147" s="2093"/>
      <c r="AC147" s="2093"/>
      <c r="AD147" s="2093"/>
      <c r="AE147" s="2093"/>
      <c r="AF147" s="2093"/>
      <c r="AG147" s="2093"/>
      <c r="AH147" s="2093"/>
      <c r="AI147" s="2093"/>
      <c r="AJ147" s="2093"/>
      <c r="AK147" s="2093"/>
      <c r="AL147" s="2093"/>
      <c r="AM147" s="2093"/>
      <c r="AN147" s="2093"/>
      <c r="AO147" s="2093"/>
      <c r="AP147" s="2093"/>
      <c r="AQ147" s="2093"/>
      <c r="AR147" s="2093"/>
      <c r="AS147" s="2093"/>
      <c r="AT147" s="2093"/>
      <c r="AU147" s="2093"/>
      <c r="AV147" s="2093"/>
      <c r="AW147" s="2093"/>
      <c r="AX147" s="2094"/>
      <c r="AY147" s="1189"/>
      <c r="AZ147" s="1189"/>
      <c r="BA147" s="1189"/>
      <c r="BB147" s="1189"/>
      <c r="BC147" s="1189"/>
      <c r="BD147" s="1189"/>
      <c r="BE147" s="1193"/>
    </row>
    <row r="148" spans="1:57" ht="15.75" customHeight="1">
      <c r="A148" s="1189"/>
      <c r="B148" s="2092"/>
      <c r="C148" s="2093"/>
      <c r="D148" s="2093"/>
      <c r="E148" s="2093"/>
      <c r="F148" s="2093"/>
      <c r="G148" s="2093"/>
      <c r="H148" s="2093"/>
      <c r="I148" s="2093"/>
      <c r="J148" s="2093"/>
      <c r="K148" s="2093"/>
      <c r="L148" s="2093"/>
      <c r="M148" s="2093"/>
      <c r="N148" s="2093"/>
      <c r="O148" s="2093"/>
      <c r="P148" s="2093"/>
      <c r="Q148" s="2093"/>
      <c r="R148" s="2093"/>
      <c r="S148" s="2093"/>
      <c r="T148" s="2093"/>
      <c r="U148" s="2093"/>
      <c r="V148" s="2093"/>
      <c r="W148" s="2093"/>
      <c r="X148" s="2093"/>
      <c r="Y148" s="2093"/>
      <c r="Z148" s="2093"/>
      <c r="AA148" s="2093"/>
      <c r="AB148" s="2093"/>
      <c r="AC148" s="2093"/>
      <c r="AD148" s="2093"/>
      <c r="AE148" s="2093"/>
      <c r="AF148" s="2093"/>
      <c r="AG148" s="2093"/>
      <c r="AH148" s="2093"/>
      <c r="AI148" s="2093"/>
      <c r="AJ148" s="2093"/>
      <c r="AK148" s="2093"/>
      <c r="AL148" s="2093"/>
      <c r="AM148" s="2093"/>
      <c r="AN148" s="2093"/>
      <c r="AO148" s="2093"/>
      <c r="AP148" s="2093"/>
      <c r="AQ148" s="2093"/>
      <c r="AR148" s="2093"/>
      <c r="AS148" s="2093"/>
      <c r="AT148" s="2093"/>
      <c r="AU148" s="2093"/>
      <c r="AV148" s="2093"/>
      <c r="AW148" s="2093"/>
      <c r="AX148" s="2094"/>
      <c r="AY148" s="1189"/>
      <c r="AZ148" s="1189"/>
      <c r="BA148" s="1189"/>
      <c r="BB148" s="1189"/>
      <c r="BC148" s="1189"/>
      <c r="BD148" s="1189"/>
      <c r="BE148" s="1193"/>
    </row>
    <row r="149" spans="1:57" ht="15.75" customHeight="1">
      <c r="A149" s="1189"/>
      <c r="B149" s="2092"/>
      <c r="C149" s="2093"/>
      <c r="D149" s="2093"/>
      <c r="E149" s="2093"/>
      <c r="F149" s="2093"/>
      <c r="G149" s="2093"/>
      <c r="H149" s="2093"/>
      <c r="I149" s="2093"/>
      <c r="J149" s="2093"/>
      <c r="K149" s="2093"/>
      <c r="L149" s="2093"/>
      <c r="M149" s="2093"/>
      <c r="N149" s="2093"/>
      <c r="O149" s="2093"/>
      <c r="P149" s="2093"/>
      <c r="Q149" s="2093"/>
      <c r="R149" s="2093"/>
      <c r="S149" s="2093"/>
      <c r="T149" s="2093"/>
      <c r="U149" s="2093"/>
      <c r="V149" s="2093"/>
      <c r="W149" s="2093"/>
      <c r="X149" s="2093"/>
      <c r="Y149" s="2093"/>
      <c r="Z149" s="2093"/>
      <c r="AA149" s="2093"/>
      <c r="AB149" s="2093"/>
      <c r="AC149" s="2093"/>
      <c r="AD149" s="2093"/>
      <c r="AE149" s="2093"/>
      <c r="AF149" s="2093"/>
      <c r="AG149" s="2093"/>
      <c r="AH149" s="2093"/>
      <c r="AI149" s="2093"/>
      <c r="AJ149" s="2093"/>
      <c r="AK149" s="2093"/>
      <c r="AL149" s="2093"/>
      <c r="AM149" s="2093"/>
      <c r="AN149" s="2093"/>
      <c r="AO149" s="2093"/>
      <c r="AP149" s="2093"/>
      <c r="AQ149" s="2093"/>
      <c r="AR149" s="2093"/>
      <c r="AS149" s="2093"/>
      <c r="AT149" s="2093"/>
      <c r="AU149" s="2093"/>
      <c r="AV149" s="2093"/>
      <c r="AW149" s="2093"/>
      <c r="AX149" s="2094"/>
      <c r="AY149" s="1189"/>
      <c r="AZ149" s="1189"/>
      <c r="BA149" s="1189"/>
      <c r="BB149" s="1189"/>
      <c r="BC149" s="1189"/>
      <c r="BD149" s="1189"/>
      <c r="BE149" s="1193"/>
    </row>
    <row r="150" spans="1:57" ht="15.75" customHeight="1">
      <c r="A150" s="1189"/>
      <c r="B150" s="2092"/>
      <c r="C150" s="2093"/>
      <c r="D150" s="2093"/>
      <c r="E150" s="2093"/>
      <c r="F150" s="2093"/>
      <c r="G150" s="2093"/>
      <c r="H150" s="2093"/>
      <c r="I150" s="2093"/>
      <c r="J150" s="2093"/>
      <c r="K150" s="2093"/>
      <c r="L150" s="2093"/>
      <c r="M150" s="2093"/>
      <c r="N150" s="2093"/>
      <c r="O150" s="2093"/>
      <c r="P150" s="2093"/>
      <c r="Q150" s="2093"/>
      <c r="R150" s="2093"/>
      <c r="S150" s="2093"/>
      <c r="T150" s="2093"/>
      <c r="U150" s="2093"/>
      <c r="V150" s="2093"/>
      <c r="W150" s="2093"/>
      <c r="X150" s="2093"/>
      <c r="Y150" s="2093"/>
      <c r="Z150" s="2093"/>
      <c r="AA150" s="2093"/>
      <c r="AB150" s="2093"/>
      <c r="AC150" s="2093"/>
      <c r="AD150" s="2093"/>
      <c r="AE150" s="2093"/>
      <c r="AF150" s="2093"/>
      <c r="AG150" s="2093"/>
      <c r="AH150" s="2093"/>
      <c r="AI150" s="2093"/>
      <c r="AJ150" s="2093"/>
      <c r="AK150" s="2093"/>
      <c r="AL150" s="2093"/>
      <c r="AM150" s="2093"/>
      <c r="AN150" s="2093"/>
      <c r="AO150" s="2093"/>
      <c r="AP150" s="2093"/>
      <c r="AQ150" s="2093"/>
      <c r="AR150" s="2093"/>
      <c r="AS150" s="2093"/>
      <c r="AT150" s="2093"/>
      <c r="AU150" s="2093"/>
      <c r="AV150" s="2093"/>
      <c r="AW150" s="2093"/>
      <c r="AX150" s="2094"/>
      <c r="AY150" s="1189"/>
      <c r="AZ150" s="1189"/>
      <c r="BA150" s="1189"/>
      <c r="BB150" s="1189"/>
      <c r="BC150" s="1189"/>
      <c r="BD150" s="1189"/>
      <c r="BE150" s="1193"/>
    </row>
    <row r="151" spans="1:57" ht="15.75" customHeight="1">
      <c r="A151" s="1189"/>
      <c r="B151" s="2092"/>
      <c r="C151" s="2093"/>
      <c r="D151" s="2093"/>
      <c r="E151" s="2093"/>
      <c r="F151" s="2093"/>
      <c r="G151" s="2093"/>
      <c r="H151" s="2093"/>
      <c r="I151" s="2093"/>
      <c r="J151" s="2093"/>
      <c r="K151" s="2093"/>
      <c r="L151" s="2093"/>
      <c r="M151" s="2093"/>
      <c r="N151" s="2093"/>
      <c r="O151" s="2093"/>
      <c r="P151" s="2093"/>
      <c r="Q151" s="2093"/>
      <c r="R151" s="2093"/>
      <c r="S151" s="2093"/>
      <c r="T151" s="2093"/>
      <c r="U151" s="2093"/>
      <c r="V151" s="2093"/>
      <c r="W151" s="2093"/>
      <c r="X151" s="2093"/>
      <c r="Y151" s="2093"/>
      <c r="Z151" s="2093"/>
      <c r="AA151" s="2093"/>
      <c r="AB151" s="2093"/>
      <c r="AC151" s="2093"/>
      <c r="AD151" s="2093"/>
      <c r="AE151" s="2093"/>
      <c r="AF151" s="2093"/>
      <c r="AG151" s="2093"/>
      <c r="AH151" s="2093"/>
      <c r="AI151" s="2093"/>
      <c r="AJ151" s="2093"/>
      <c r="AK151" s="2093"/>
      <c r="AL151" s="2093"/>
      <c r="AM151" s="2093"/>
      <c r="AN151" s="2093"/>
      <c r="AO151" s="2093"/>
      <c r="AP151" s="2093"/>
      <c r="AQ151" s="2093"/>
      <c r="AR151" s="2093"/>
      <c r="AS151" s="2093"/>
      <c r="AT151" s="2093"/>
      <c r="AU151" s="2093"/>
      <c r="AV151" s="2093"/>
      <c r="AW151" s="2093"/>
      <c r="AX151" s="2094"/>
      <c r="AY151" s="1189"/>
      <c r="AZ151" s="1189"/>
      <c r="BA151" s="1189"/>
      <c r="BB151" s="1189"/>
      <c r="BC151" s="1189"/>
      <c r="BD151" s="1189"/>
      <c r="BE151" s="1193"/>
    </row>
    <row r="152" spans="1:57" ht="15.75" customHeight="1" thickBot="1">
      <c r="A152" s="1189"/>
      <c r="B152" s="2095"/>
      <c r="C152" s="2096"/>
      <c r="D152" s="2096"/>
      <c r="E152" s="2096"/>
      <c r="F152" s="2096"/>
      <c r="G152" s="2096"/>
      <c r="H152" s="2096"/>
      <c r="I152" s="2096"/>
      <c r="J152" s="2096"/>
      <c r="K152" s="2096"/>
      <c r="L152" s="2096"/>
      <c r="M152" s="2096"/>
      <c r="N152" s="2096"/>
      <c r="O152" s="2096"/>
      <c r="P152" s="2096"/>
      <c r="Q152" s="2096"/>
      <c r="R152" s="2096"/>
      <c r="S152" s="2096"/>
      <c r="T152" s="2096"/>
      <c r="U152" s="2096"/>
      <c r="V152" s="2096"/>
      <c r="W152" s="2096"/>
      <c r="X152" s="2096"/>
      <c r="Y152" s="2096"/>
      <c r="Z152" s="2096"/>
      <c r="AA152" s="2096"/>
      <c r="AB152" s="2096"/>
      <c r="AC152" s="2096"/>
      <c r="AD152" s="2096"/>
      <c r="AE152" s="2096"/>
      <c r="AF152" s="2096"/>
      <c r="AG152" s="2096"/>
      <c r="AH152" s="2096"/>
      <c r="AI152" s="2096"/>
      <c r="AJ152" s="2096"/>
      <c r="AK152" s="2096"/>
      <c r="AL152" s="2096"/>
      <c r="AM152" s="2096"/>
      <c r="AN152" s="2096"/>
      <c r="AO152" s="2096"/>
      <c r="AP152" s="2096"/>
      <c r="AQ152" s="2096"/>
      <c r="AR152" s="2096"/>
      <c r="AS152" s="2096"/>
      <c r="AT152" s="2096"/>
      <c r="AU152" s="2096"/>
      <c r="AV152" s="2096"/>
      <c r="AW152" s="2096"/>
      <c r="AX152" s="2097"/>
      <c r="AY152" s="1189"/>
      <c r="AZ152" s="1189"/>
      <c r="BA152" s="1189"/>
      <c r="BB152" s="1189"/>
      <c r="BC152" s="1189"/>
      <c r="BD152" s="1189"/>
      <c r="BE152" s="1193"/>
    </row>
    <row r="153" spans="1:57" ht="15.75" customHeight="1" thickBot="1">
      <c r="A153" s="1189"/>
      <c r="B153" s="1189"/>
      <c r="C153" s="1189"/>
      <c r="D153" s="1189"/>
      <c r="E153" s="1189"/>
      <c r="F153" s="1189"/>
      <c r="G153" s="1189"/>
      <c r="H153" s="1189"/>
      <c r="I153" s="1189"/>
      <c r="J153" s="1189"/>
      <c r="K153" s="1189"/>
      <c r="L153" s="1189"/>
      <c r="M153" s="1189"/>
      <c r="N153" s="1189"/>
      <c r="O153" s="1189"/>
      <c r="P153" s="1189"/>
      <c r="Q153" s="1189"/>
      <c r="R153" s="1189"/>
      <c r="S153" s="1189"/>
      <c r="T153" s="1189"/>
      <c r="U153" s="1189"/>
      <c r="V153" s="1189"/>
      <c r="W153" s="1189"/>
      <c r="X153" s="1189"/>
      <c r="Y153" s="1189"/>
      <c r="Z153" s="1189"/>
      <c r="AA153" s="1189"/>
      <c r="AB153" s="1189"/>
      <c r="AC153" s="1189"/>
      <c r="AD153" s="1189"/>
      <c r="AE153" s="1189"/>
      <c r="AF153" s="1189"/>
      <c r="AG153" s="1189"/>
      <c r="AH153" s="1189"/>
      <c r="AI153" s="1189"/>
      <c r="AJ153" s="1189"/>
      <c r="AK153" s="1189"/>
      <c r="AL153" s="1189"/>
      <c r="AM153" s="1189"/>
      <c r="AN153" s="1189"/>
      <c r="AO153" s="1189"/>
      <c r="AP153" s="1189"/>
      <c r="AQ153" s="1189"/>
      <c r="AR153" s="1189"/>
      <c r="AS153" s="1189"/>
      <c r="AT153" s="1189"/>
      <c r="AU153" s="1189"/>
      <c r="AV153" s="1189"/>
      <c r="AW153" s="1189"/>
      <c r="AX153" s="1189"/>
      <c r="AY153" s="1189"/>
      <c r="AZ153" s="1189"/>
      <c r="BA153" s="1189"/>
      <c r="BB153" s="1189"/>
      <c r="BC153" s="1189"/>
      <c r="BD153" s="1189"/>
      <c r="BE153" s="1193"/>
    </row>
    <row r="154" spans="1:57" ht="15.75" customHeight="1" thickBot="1">
      <c r="A154" s="1189"/>
      <c r="B154" s="1208" t="s">
        <v>2352</v>
      </c>
      <c r="C154" s="1209"/>
      <c r="D154" s="1209"/>
      <c r="E154" s="1209"/>
      <c r="F154" s="1209"/>
      <c r="G154" s="1209"/>
      <c r="H154" s="1209"/>
      <c r="I154" s="1209"/>
      <c r="J154" s="1209"/>
      <c r="K154" s="1209"/>
      <c r="L154" s="1209"/>
      <c r="M154" s="1210"/>
      <c r="N154" s="1194"/>
      <c r="O154" s="1194"/>
      <c r="P154" s="1189"/>
      <c r="Q154" s="1189"/>
      <c r="R154" s="1189"/>
      <c r="S154" s="1189"/>
      <c r="T154" s="1189"/>
      <c r="U154" s="1189" t="s">
        <v>250</v>
      </c>
      <c r="V154" s="1189"/>
      <c r="W154" s="1189"/>
      <c r="X154" s="1208" t="s">
        <v>2351</v>
      </c>
      <c r="Y154" s="1209"/>
      <c r="Z154" s="1209"/>
      <c r="AA154" s="1209"/>
      <c r="AB154" s="1209"/>
      <c r="AC154" s="1209"/>
      <c r="AD154" s="1209"/>
      <c r="AE154" s="1209"/>
      <c r="AF154" s="1209"/>
      <c r="AG154" s="1209"/>
      <c r="AH154" s="1209"/>
      <c r="AI154" s="1209"/>
      <c r="AJ154" s="1209"/>
      <c r="AK154" s="1203"/>
      <c r="AL154" s="1203"/>
      <c r="AM154" s="1204"/>
      <c r="AN154" s="1189"/>
      <c r="AO154" s="1189"/>
      <c r="AP154" s="1189"/>
      <c r="AQ154" s="1189"/>
      <c r="AR154" s="1189"/>
      <c r="AS154" s="1189"/>
      <c r="AT154" s="1189"/>
      <c r="AU154" s="1189"/>
      <c r="AV154" s="1189"/>
      <c r="AW154" s="1189"/>
      <c r="AX154" s="1189"/>
      <c r="AY154" s="1189"/>
      <c r="AZ154" s="1189"/>
      <c r="BA154" s="1189"/>
      <c r="BB154" s="1189"/>
      <c r="BC154" s="1189"/>
      <c r="BD154" s="1189"/>
      <c r="BE154" s="1193"/>
    </row>
    <row r="155" spans="1:57" ht="15.75" customHeight="1" thickBot="1">
      <c r="A155" s="1189"/>
      <c r="B155" s="1189"/>
      <c r="C155" s="1189"/>
      <c r="D155" s="1189"/>
      <c r="E155" s="1189"/>
      <c r="F155" s="1189"/>
      <c r="G155" s="1189"/>
      <c r="H155" s="1189"/>
      <c r="I155" s="1189"/>
      <c r="J155" s="1189"/>
      <c r="K155" s="1189"/>
      <c r="L155" s="1189"/>
      <c r="M155" s="1189"/>
      <c r="N155" s="1189"/>
      <c r="O155" s="1189"/>
      <c r="P155" s="1194"/>
      <c r="Q155" s="1189"/>
      <c r="R155" s="1189"/>
      <c r="S155" s="1189"/>
      <c r="T155" s="1189"/>
      <c r="U155" s="1189"/>
      <c r="V155" s="1189"/>
      <c r="W155" s="1189"/>
      <c r="X155" s="1189"/>
      <c r="Y155" s="1189"/>
      <c r="Z155" s="1189"/>
      <c r="AA155" s="1189"/>
      <c r="AB155" s="1189"/>
      <c r="AC155" s="1189"/>
      <c r="AD155" s="1189"/>
      <c r="AE155" s="1189"/>
      <c r="AF155" s="1189"/>
      <c r="AG155" s="1189"/>
      <c r="AH155" s="1189"/>
      <c r="AI155" s="1189"/>
      <c r="AJ155" s="1189"/>
      <c r="AK155" s="1189"/>
      <c r="AL155" s="1189"/>
      <c r="AM155" s="1189"/>
      <c r="AN155" s="1189"/>
      <c r="AO155" s="1189"/>
      <c r="AP155" s="1189"/>
      <c r="AQ155" s="1189"/>
      <c r="AR155" s="1189"/>
      <c r="AS155" s="1189"/>
      <c r="AT155" s="1189"/>
      <c r="AU155" s="1189"/>
      <c r="AV155" s="1189"/>
      <c r="AW155" s="1189"/>
      <c r="AX155" s="1189"/>
      <c r="AY155" s="1189"/>
      <c r="AZ155" s="1189"/>
      <c r="BA155" s="1189"/>
      <c r="BB155" s="1189"/>
      <c r="BC155" s="1189"/>
      <c r="BD155" s="1189"/>
      <c r="BE155" s="1193"/>
    </row>
    <row r="156" spans="1:57" ht="15.75" customHeight="1">
      <c r="A156" s="1189"/>
      <c r="B156" s="2075" t="s">
        <v>2350</v>
      </c>
      <c r="C156" s="2031"/>
      <c r="D156" s="2031"/>
      <c r="E156" s="2031"/>
      <c r="F156" s="2031"/>
      <c r="G156" s="2031"/>
      <c r="H156" s="2031"/>
      <c r="I156" s="2031"/>
      <c r="J156" s="2031"/>
      <c r="K156" s="2031"/>
      <c r="L156" s="2031"/>
      <c r="M156" s="2031"/>
      <c r="N156" s="2031"/>
      <c r="O156" s="2031"/>
      <c r="P156" s="2031"/>
      <c r="Q156" s="2031"/>
      <c r="R156" s="2031"/>
      <c r="S156" s="2031"/>
      <c r="T156" s="2031"/>
      <c r="U156" s="2032"/>
      <c r="V156" s="1189"/>
      <c r="W156" s="1191"/>
      <c r="X156" s="2075" t="s">
        <v>2349</v>
      </c>
      <c r="Y156" s="2031"/>
      <c r="Z156" s="2031"/>
      <c r="AA156" s="2031"/>
      <c r="AB156" s="2031"/>
      <c r="AC156" s="2031"/>
      <c r="AD156" s="2031"/>
      <c r="AE156" s="2031"/>
      <c r="AF156" s="2031"/>
      <c r="AG156" s="2031"/>
      <c r="AH156" s="2031"/>
      <c r="AI156" s="2031"/>
      <c r="AJ156" s="2031"/>
      <c r="AK156" s="2031"/>
      <c r="AL156" s="2031"/>
      <c r="AM156" s="2031"/>
      <c r="AN156" s="2031"/>
      <c r="AO156" s="2031"/>
      <c r="AP156" s="2031"/>
      <c r="AQ156" s="2032"/>
      <c r="AR156" s="1189"/>
      <c r="AS156" s="1189"/>
      <c r="AT156" s="1189"/>
      <c r="AU156" s="1189"/>
      <c r="AV156" s="1189"/>
      <c r="AW156" s="1189"/>
      <c r="AX156" s="1189"/>
      <c r="AY156" s="1189"/>
      <c r="AZ156" s="1189"/>
      <c r="BA156" s="1189"/>
      <c r="BB156" s="1189"/>
      <c r="BC156" s="1189"/>
      <c r="BD156" s="1189"/>
      <c r="BE156" s="1193"/>
    </row>
    <row r="157" spans="1:57" ht="15.75" customHeight="1">
      <c r="A157" s="1189"/>
      <c r="B157" s="2043"/>
      <c r="C157" s="2044"/>
      <c r="D157" s="2044"/>
      <c r="E157" s="2044"/>
      <c r="F157" s="2044"/>
      <c r="G157" s="2044"/>
      <c r="H157" s="2044"/>
      <c r="I157" s="2081" t="s">
        <v>2347</v>
      </c>
      <c r="J157" s="2081"/>
      <c r="K157" s="2081"/>
      <c r="L157" s="2081"/>
      <c r="M157" s="2081"/>
      <c r="N157" s="2081"/>
      <c r="O157" s="2081"/>
      <c r="P157" s="2081" t="s">
        <v>2348</v>
      </c>
      <c r="Q157" s="2081"/>
      <c r="R157" s="2081"/>
      <c r="S157" s="2081"/>
      <c r="T157" s="2081"/>
      <c r="U157" s="2082"/>
      <c r="V157" s="1189"/>
      <c r="W157" s="1189"/>
      <c r="X157" s="2043"/>
      <c r="Y157" s="2044"/>
      <c r="Z157" s="2044"/>
      <c r="AA157" s="2044"/>
      <c r="AB157" s="2044"/>
      <c r="AC157" s="2044"/>
      <c r="AD157" s="2044"/>
      <c r="AE157" s="2081" t="s">
        <v>2347</v>
      </c>
      <c r="AF157" s="2081"/>
      <c r="AG157" s="2081"/>
      <c r="AH157" s="2081"/>
      <c r="AI157" s="2081"/>
      <c r="AJ157" s="2081"/>
      <c r="AK157" s="2081"/>
      <c r="AL157" s="2081" t="s">
        <v>2346</v>
      </c>
      <c r="AM157" s="2081"/>
      <c r="AN157" s="2081"/>
      <c r="AO157" s="2081"/>
      <c r="AP157" s="2081"/>
      <c r="AQ157" s="2082"/>
      <c r="AR157" s="1189"/>
      <c r="AS157" s="1189"/>
      <c r="AT157" s="1189"/>
      <c r="AU157" s="1189"/>
      <c r="AV157" s="1189"/>
      <c r="AW157" s="1189"/>
      <c r="AX157" s="1189"/>
      <c r="AY157" s="1189"/>
      <c r="AZ157" s="1189"/>
      <c r="BA157" s="1189"/>
      <c r="BB157" s="1189"/>
      <c r="BC157" s="1189"/>
      <c r="BD157" s="1189"/>
      <c r="BE157" s="1193"/>
    </row>
    <row r="158" spans="1:57" ht="15.75" customHeight="1">
      <c r="A158" s="1189"/>
      <c r="B158" s="2043"/>
      <c r="C158" s="2044"/>
      <c r="D158" s="2044"/>
      <c r="E158" s="2044"/>
      <c r="F158" s="2044"/>
      <c r="G158" s="2044"/>
      <c r="H158" s="2044"/>
      <c r="I158" s="2081"/>
      <c r="J158" s="2081"/>
      <c r="K158" s="2081"/>
      <c r="L158" s="2081"/>
      <c r="M158" s="2081"/>
      <c r="N158" s="2081"/>
      <c r="O158" s="2081"/>
      <c r="P158" s="2081"/>
      <c r="Q158" s="2081"/>
      <c r="R158" s="2081"/>
      <c r="S158" s="2081"/>
      <c r="T158" s="2081"/>
      <c r="U158" s="2082"/>
      <c r="V158" s="1189"/>
      <c r="W158" s="1189"/>
      <c r="X158" s="2043"/>
      <c r="Y158" s="2044"/>
      <c r="Z158" s="2044"/>
      <c r="AA158" s="2044"/>
      <c r="AB158" s="2044"/>
      <c r="AC158" s="2044"/>
      <c r="AD158" s="2044"/>
      <c r="AE158" s="2081"/>
      <c r="AF158" s="2081"/>
      <c r="AG158" s="2081"/>
      <c r="AH158" s="2081"/>
      <c r="AI158" s="2081"/>
      <c r="AJ158" s="2081"/>
      <c r="AK158" s="2081"/>
      <c r="AL158" s="2081"/>
      <c r="AM158" s="2081"/>
      <c r="AN158" s="2081"/>
      <c r="AO158" s="2081"/>
      <c r="AP158" s="2081"/>
      <c r="AQ158" s="2082"/>
      <c r="AR158" s="1189"/>
      <c r="AS158" s="1189"/>
      <c r="AT158" s="1189"/>
      <c r="AU158" s="1189"/>
      <c r="AV158" s="1189"/>
      <c r="AW158" s="1189"/>
      <c r="AX158" s="1189"/>
      <c r="AY158" s="1189"/>
      <c r="AZ158" s="1189"/>
      <c r="BA158" s="1189"/>
      <c r="BB158" s="1189"/>
      <c r="BC158" s="1189"/>
      <c r="BD158" s="1189"/>
      <c r="BE158" s="1193"/>
    </row>
    <row r="159" spans="1:57" ht="15.75" customHeight="1" thickBot="1">
      <c r="A159" s="1189"/>
      <c r="B159" s="2077" t="s">
        <v>2345</v>
      </c>
      <c r="C159" s="2078"/>
      <c r="D159" s="2078"/>
      <c r="E159" s="2078"/>
      <c r="F159" s="2078"/>
      <c r="G159" s="2078"/>
      <c r="H159" s="2078"/>
      <c r="I159" s="2079">
        <v>0</v>
      </c>
      <c r="J159" s="2079"/>
      <c r="K159" s="2079"/>
      <c r="L159" s="2079"/>
      <c r="M159" s="2079"/>
      <c r="N159" s="2079"/>
      <c r="O159" s="2079"/>
      <c r="P159" s="2079">
        <v>0</v>
      </c>
      <c r="Q159" s="2079"/>
      <c r="R159" s="2079"/>
      <c r="S159" s="2079"/>
      <c r="T159" s="2079"/>
      <c r="U159" s="2080"/>
      <c r="V159" s="1189"/>
      <c r="W159" s="1189"/>
      <c r="X159" s="2071" t="s">
        <v>2345</v>
      </c>
      <c r="Y159" s="2072"/>
      <c r="Z159" s="2072"/>
      <c r="AA159" s="2072"/>
      <c r="AB159" s="2072"/>
      <c r="AC159" s="2072"/>
      <c r="AD159" s="2072"/>
      <c r="AE159" s="2073">
        <v>0</v>
      </c>
      <c r="AF159" s="2073"/>
      <c r="AG159" s="2073"/>
      <c r="AH159" s="2073"/>
      <c r="AI159" s="2073"/>
      <c r="AJ159" s="2073"/>
      <c r="AK159" s="2073"/>
      <c r="AL159" s="2073">
        <v>0</v>
      </c>
      <c r="AM159" s="2073"/>
      <c r="AN159" s="2073"/>
      <c r="AO159" s="2073"/>
      <c r="AP159" s="2073"/>
      <c r="AQ159" s="2074"/>
      <c r="AR159" s="1189"/>
      <c r="AS159" s="1189"/>
      <c r="AT159" s="1189"/>
      <c r="AU159" s="1189"/>
      <c r="AV159" s="1189"/>
      <c r="AW159" s="1189"/>
      <c r="AX159" s="1189"/>
      <c r="AY159" s="1189"/>
      <c r="AZ159" s="1189"/>
      <c r="BA159" s="1189"/>
      <c r="BB159" s="1189"/>
      <c r="BC159" s="1189"/>
      <c r="BD159" s="1189"/>
      <c r="BE159" s="1193"/>
    </row>
    <row r="160" spans="1:57" ht="15.75" customHeight="1" thickBot="1">
      <c r="A160" s="1189"/>
      <c r="B160" s="2071" t="s">
        <v>2344</v>
      </c>
      <c r="C160" s="2072"/>
      <c r="D160" s="2072"/>
      <c r="E160" s="2072"/>
      <c r="F160" s="2072"/>
      <c r="G160" s="2072"/>
      <c r="H160" s="2072"/>
      <c r="I160" s="2073">
        <v>0</v>
      </c>
      <c r="J160" s="2073"/>
      <c r="K160" s="2073"/>
      <c r="L160" s="2073"/>
      <c r="M160" s="2073"/>
      <c r="N160" s="2073"/>
      <c r="O160" s="2073"/>
      <c r="P160" s="2073">
        <v>0</v>
      </c>
      <c r="Q160" s="2073"/>
      <c r="R160" s="2073"/>
      <c r="S160" s="2073"/>
      <c r="T160" s="2073"/>
      <c r="U160" s="2074"/>
      <c r="V160" s="1189"/>
      <c r="W160" s="1189"/>
      <c r="X160" s="1189"/>
      <c r="Y160" s="1189"/>
      <c r="Z160" s="1189"/>
      <c r="AA160" s="1189"/>
      <c r="AB160" s="1189"/>
      <c r="AC160" s="1189"/>
      <c r="AD160" s="1189"/>
      <c r="AE160" s="1189"/>
      <c r="AF160" s="1189"/>
      <c r="AG160" s="1189"/>
      <c r="AH160" s="1189"/>
      <c r="AI160" s="1189"/>
      <c r="AJ160" s="1189"/>
      <c r="AK160" s="1189"/>
      <c r="AL160" s="1189"/>
      <c r="AM160" s="1189"/>
      <c r="AN160" s="1189"/>
      <c r="AO160" s="1189"/>
      <c r="AP160" s="1189"/>
      <c r="AQ160" s="1189"/>
      <c r="AR160" s="1189"/>
      <c r="AS160" s="1189"/>
      <c r="AT160" s="1189"/>
      <c r="AU160" s="1189"/>
      <c r="AV160" s="1189"/>
      <c r="AW160" s="1189"/>
      <c r="AX160" s="1189"/>
      <c r="AY160" s="1189"/>
      <c r="AZ160" s="1189"/>
      <c r="BA160" s="1189"/>
      <c r="BB160" s="1189"/>
      <c r="BC160" s="1189"/>
      <c r="BD160" s="1189"/>
      <c r="BE160" s="1193"/>
    </row>
    <row r="161" spans="1:57" ht="15.75" customHeight="1" thickBot="1">
      <c r="A161" s="1189"/>
      <c r="B161" s="1189"/>
      <c r="C161" s="1189"/>
      <c r="D161" s="1189"/>
      <c r="E161" s="1189"/>
      <c r="F161" s="1189"/>
      <c r="G161" s="1189"/>
      <c r="H161" s="1189"/>
      <c r="I161" s="1189"/>
      <c r="J161" s="1189"/>
      <c r="K161" s="1189"/>
      <c r="L161" s="1189"/>
      <c r="M161" s="1189"/>
      <c r="N161" s="1189"/>
      <c r="O161" s="1189"/>
      <c r="P161" s="1189"/>
      <c r="Q161" s="1189"/>
      <c r="R161" s="1189"/>
      <c r="S161" s="1189"/>
      <c r="T161" s="1189"/>
      <c r="U161" s="1189"/>
      <c r="V161" s="1189"/>
      <c r="W161" s="1189"/>
      <c r="X161" s="1189"/>
      <c r="Y161" s="1189"/>
      <c r="Z161" s="1189"/>
      <c r="AA161" s="1189"/>
      <c r="AB161" s="1189"/>
      <c r="AC161" s="1189"/>
      <c r="AD161" s="1189"/>
      <c r="AE161" s="1189"/>
      <c r="AF161" s="1189"/>
      <c r="AG161" s="1189"/>
      <c r="AH161" s="1189"/>
      <c r="AI161" s="1189"/>
      <c r="AJ161" s="1189"/>
      <c r="AK161" s="1189"/>
      <c r="AL161" s="1189"/>
      <c r="AM161" s="1189"/>
      <c r="AN161" s="1189"/>
      <c r="AO161" s="1189"/>
      <c r="AP161" s="1189"/>
      <c r="AQ161" s="1189"/>
      <c r="AR161" s="1189"/>
      <c r="AS161" s="1189"/>
      <c r="AT161" s="1189"/>
      <c r="AU161" s="1189"/>
      <c r="AV161" s="1189"/>
      <c r="AW161" s="1189"/>
      <c r="AX161" s="1189"/>
      <c r="AY161" s="1189"/>
      <c r="AZ161" s="1189"/>
      <c r="BA161" s="1189"/>
      <c r="BB161" s="1189"/>
      <c r="BC161" s="1189"/>
      <c r="BD161" s="1189"/>
      <c r="BE161" s="1193"/>
    </row>
    <row r="162" spans="1:57" ht="15.75" customHeight="1">
      <c r="A162" s="1189"/>
      <c r="B162" s="1189"/>
      <c r="C162" s="2075" t="s">
        <v>2343</v>
      </c>
      <c r="D162" s="2031"/>
      <c r="E162" s="2031"/>
      <c r="F162" s="2031"/>
      <c r="G162" s="2031"/>
      <c r="H162" s="2031"/>
      <c r="I162" s="2031"/>
      <c r="J162" s="2031"/>
      <c r="K162" s="2031"/>
      <c r="L162" s="2031"/>
      <c r="M162" s="2031"/>
      <c r="N162" s="2031"/>
      <c r="O162" s="2031"/>
      <c r="P162" s="2031"/>
      <c r="Q162" s="2031"/>
      <c r="R162" s="2031"/>
      <c r="S162" s="2031"/>
      <c r="T162" s="2031"/>
      <c r="U162" s="2031"/>
      <c r="V162" s="2031"/>
      <c r="W162" s="2031"/>
      <c r="X162" s="2031"/>
      <c r="Y162" s="2031"/>
      <c r="Z162" s="2031"/>
      <c r="AA162" s="2031"/>
      <c r="AB162" s="2031"/>
      <c r="AC162" s="2031"/>
      <c r="AD162" s="2031"/>
      <c r="AE162" s="2031"/>
      <c r="AF162" s="2031"/>
      <c r="AG162" s="2032"/>
      <c r="AH162" s="1189"/>
      <c r="AI162" s="1189"/>
      <c r="AJ162" s="1189"/>
      <c r="AK162" s="1189"/>
      <c r="AL162" s="1189"/>
      <c r="AM162" s="1189"/>
      <c r="AN162" s="1189"/>
      <c r="AO162" s="1189"/>
      <c r="AP162" s="1189"/>
      <c r="AQ162" s="1189"/>
      <c r="AR162" s="1189"/>
      <c r="AS162" s="1189"/>
      <c r="AT162" s="1189"/>
      <c r="AU162" s="1189"/>
      <c r="AV162" s="1189"/>
      <c r="AW162" s="1189"/>
      <c r="AX162" s="1189"/>
      <c r="AY162" s="1189"/>
      <c r="AZ162" s="1189"/>
      <c r="BA162" s="1189"/>
      <c r="BB162" s="1189"/>
      <c r="BC162" s="1189"/>
      <c r="BD162" s="1189"/>
      <c r="BE162" s="1193"/>
    </row>
    <row r="163" spans="1:57" ht="15.75" customHeight="1">
      <c r="A163" s="1189"/>
      <c r="B163" s="1189"/>
      <c r="C163" s="2043" t="s">
        <v>2328</v>
      </c>
      <c r="D163" s="2044"/>
      <c r="E163" s="2044"/>
      <c r="F163" s="2044"/>
      <c r="G163" s="2044"/>
      <c r="H163" s="2044"/>
      <c r="I163" s="2044"/>
      <c r="J163" s="2044"/>
      <c r="K163" s="2044"/>
      <c r="L163" s="2044"/>
      <c r="M163" s="2044"/>
      <c r="N163" s="2044"/>
      <c r="O163" s="2044"/>
      <c r="P163" s="2044"/>
      <c r="Q163" s="2044" t="s">
        <v>2342</v>
      </c>
      <c r="R163" s="2044"/>
      <c r="S163" s="2044"/>
      <c r="T163" s="2076" t="s">
        <v>2341</v>
      </c>
      <c r="U163" s="2076"/>
      <c r="V163" s="2076"/>
      <c r="W163" s="2076"/>
      <c r="X163" s="2076"/>
      <c r="Y163" s="2076"/>
      <c r="Z163" s="2076"/>
      <c r="AA163" s="2076"/>
      <c r="AB163" s="2044" t="s">
        <v>2340</v>
      </c>
      <c r="AC163" s="2044"/>
      <c r="AD163" s="2044"/>
      <c r="AE163" s="2044"/>
      <c r="AF163" s="2044"/>
      <c r="AG163" s="2045"/>
      <c r="AH163" s="1189"/>
      <c r="AI163" s="1189"/>
      <c r="AJ163" s="1189"/>
      <c r="AK163" s="1189"/>
      <c r="AL163" s="1189"/>
      <c r="AM163" s="1189"/>
      <c r="AN163" s="1189"/>
      <c r="AO163" s="1189"/>
      <c r="AP163" s="1189"/>
      <c r="AQ163" s="1189"/>
      <c r="AR163" s="1189"/>
      <c r="AS163" s="1189"/>
      <c r="AT163" s="1189"/>
      <c r="AU163" s="1189"/>
      <c r="AV163" s="1189"/>
      <c r="AW163" s="1189"/>
      <c r="AX163" s="1189"/>
      <c r="AY163" s="1189"/>
      <c r="AZ163" s="1189"/>
      <c r="BA163" s="1189"/>
      <c r="BB163" s="1189"/>
      <c r="BC163" s="1189"/>
      <c r="BD163" s="1189"/>
      <c r="BE163" s="1193"/>
    </row>
    <row r="164" spans="1:57" ht="15.75" customHeight="1">
      <c r="A164" s="1189"/>
      <c r="B164" s="1189"/>
      <c r="C164" s="2058" t="s">
        <v>2339</v>
      </c>
      <c r="D164" s="2059"/>
      <c r="E164" s="2059"/>
      <c r="F164" s="2059"/>
      <c r="G164" s="2059"/>
      <c r="H164" s="2059"/>
      <c r="I164" s="2059"/>
      <c r="J164" s="2059"/>
      <c r="K164" s="2059"/>
      <c r="L164" s="2059"/>
      <c r="M164" s="2059"/>
      <c r="N164" s="2059"/>
      <c r="O164" s="2059"/>
      <c r="P164" s="2059"/>
      <c r="Q164" s="2001">
        <v>55</v>
      </c>
      <c r="R164" s="2001"/>
      <c r="S164" s="2001"/>
      <c r="T164" s="2052"/>
      <c r="U164" s="2052"/>
      <c r="V164" s="2052"/>
      <c r="W164" s="2052"/>
      <c r="X164" s="2052"/>
      <c r="Y164" s="2052"/>
      <c r="Z164" s="2052"/>
      <c r="AA164" s="2052"/>
      <c r="AB164" s="1225"/>
      <c r="AC164" s="1225"/>
      <c r="AD164" s="1225"/>
      <c r="AE164" s="1225"/>
      <c r="AF164" s="1225"/>
      <c r="AG164" s="1226"/>
      <c r="AH164" s="1189"/>
      <c r="AI164" s="1189"/>
      <c r="AJ164" s="1189"/>
      <c r="AK164" s="1189"/>
      <c r="AL164" s="1189"/>
      <c r="AM164" s="1189"/>
      <c r="AN164" s="1189"/>
      <c r="AO164" s="1189"/>
      <c r="AP164" s="1189" t="s">
        <v>250</v>
      </c>
      <c r="AQ164" s="1189"/>
      <c r="AR164" s="1189"/>
      <c r="AS164" s="1189"/>
      <c r="AT164" s="1189"/>
      <c r="AU164" s="1189"/>
      <c r="AV164" s="1189"/>
      <c r="AW164" s="1189"/>
      <c r="AX164" s="1189"/>
      <c r="AY164" s="1189"/>
      <c r="AZ164" s="1189"/>
      <c r="BA164" s="1189"/>
      <c r="BB164" s="1189"/>
      <c r="BC164" s="1189"/>
      <c r="BD164" s="1189"/>
      <c r="BE164" s="1193"/>
    </row>
    <row r="165" spans="1:57" ht="15.75" customHeight="1">
      <c r="A165" s="1189"/>
      <c r="B165" s="1189"/>
      <c r="C165" s="2058" t="s">
        <v>2338</v>
      </c>
      <c r="D165" s="2059"/>
      <c r="E165" s="2059"/>
      <c r="F165" s="2059"/>
      <c r="G165" s="2059"/>
      <c r="H165" s="2059"/>
      <c r="I165" s="2059"/>
      <c r="J165" s="2059"/>
      <c r="K165" s="2059"/>
      <c r="L165" s="2059"/>
      <c r="M165" s="2059"/>
      <c r="N165" s="2059"/>
      <c r="O165" s="2059"/>
      <c r="P165" s="2059"/>
      <c r="Q165" s="2001">
        <v>55</v>
      </c>
      <c r="R165" s="2001"/>
      <c r="S165" s="2001"/>
      <c r="T165" s="2061"/>
      <c r="U165" s="2061"/>
      <c r="V165" s="2061"/>
      <c r="W165" s="2061"/>
      <c r="X165" s="2061"/>
      <c r="Y165" s="2061"/>
      <c r="Z165" s="2061"/>
      <c r="AA165" s="2061"/>
      <c r="AB165" s="1225"/>
      <c r="AC165" s="1225"/>
      <c r="AD165" s="1225"/>
      <c r="AE165" s="1225"/>
      <c r="AF165" s="1225"/>
      <c r="AG165" s="1226"/>
      <c r="AH165" s="1189"/>
      <c r="AI165" s="1189"/>
      <c r="AJ165" s="1189"/>
      <c r="AK165" s="1189"/>
      <c r="AL165" s="1189"/>
      <c r="AM165" s="1189"/>
      <c r="AN165" s="1189"/>
      <c r="AO165" s="1189"/>
      <c r="AP165" s="1189"/>
      <c r="AQ165" s="1189"/>
      <c r="AR165" s="1189"/>
      <c r="AS165" s="1189"/>
      <c r="AT165" s="1189"/>
      <c r="AU165" s="1189"/>
      <c r="AV165" s="1189"/>
      <c r="AW165" s="1189"/>
      <c r="AX165" s="1189"/>
      <c r="AY165" s="1189"/>
      <c r="AZ165" s="1189"/>
      <c r="BA165" s="1189"/>
      <c r="BB165" s="1189"/>
      <c r="BC165" s="1189"/>
      <c r="BD165" s="1189"/>
      <c r="BE165" s="1193"/>
    </row>
    <row r="166" spans="1:57" ht="15.75" customHeight="1">
      <c r="A166" s="1189"/>
      <c r="B166" s="1189"/>
      <c r="C166" s="2058" t="s">
        <v>2337</v>
      </c>
      <c r="D166" s="2059"/>
      <c r="E166" s="2059"/>
      <c r="F166" s="2059"/>
      <c r="G166" s="2059"/>
      <c r="H166" s="2059"/>
      <c r="I166" s="2059"/>
      <c r="J166" s="2059"/>
      <c r="K166" s="2059"/>
      <c r="L166" s="2059"/>
      <c r="M166" s="2059"/>
      <c r="N166" s="2059"/>
      <c r="O166" s="2059"/>
      <c r="P166" s="2059"/>
      <c r="Q166" s="2001">
        <v>55</v>
      </c>
      <c r="R166" s="2001"/>
      <c r="S166" s="2001"/>
      <c r="T166" s="2052"/>
      <c r="U166" s="2052"/>
      <c r="V166" s="2052"/>
      <c r="W166" s="2052"/>
      <c r="X166" s="2052"/>
      <c r="Y166" s="2052"/>
      <c r="Z166" s="2052"/>
      <c r="AA166" s="2052"/>
      <c r="AB166" s="1225"/>
      <c r="AC166" s="1225"/>
      <c r="AD166" s="1225"/>
      <c r="AE166" s="1225"/>
      <c r="AF166" s="1225"/>
      <c r="AG166" s="1226"/>
      <c r="AH166" s="1189"/>
      <c r="AI166" s="1189"/>
      <c r="AJ166" s="1189"/>
      <c r="AK166" s="1189"/>
      <c r="AL166" s="1189"/>
      <c r="AM166" s="1189"/>
      <c r="AN166" s="1189"/>
      <c r="AO166" s="1189"/>
      <c r="AP166" s="1189"/>
      <c r="AQ166" s="1189"/>
      <c r="AR166" s="1189"/>
      <c r="AS166" s="1189"/>
      <c r="AT166" s="1189"/>
      <c r="AU166" s="1189"/>
      <c r="AV166" s="1189"/>
      <c r="AW166" s="1189"/>
      <c r="AX166" s="1189"/>
      <c r="AY166" s="1189"/>
      <c r="AZ166" s="1189"/>
      <c r="BA166" s="1189"/>
      <c r="BB166" s="1189"/>
      <c r="BC166" s="1189"/>
      <c r="BD166" s="1189"/>
      <c r="BE166" s="1193"/>
    </row>
    <row r="167" spans="1:57" ht="15.75" customHeight="1">
      <c r="A167" s="1189"/>
      <c r="B167" s="1189"/>
      <c r="C167" s="2058" t="s">
        <v>2336</v>
      </c>
      <c r="D167" s="2059"/>
      <c r="E167" s="2059"/>
      <c r="F167" s="2059"/>
      <c r="G167" s="2059"/>
      <c r="H167" s="2059"/>
      <c r="I167" s="2059"/>
      <c r="J167" s="2059"/>
      <c r="K167" s="2059"/>
      <c r="L167" s="2059"/>
      <c r="M167" s="2059"/>
      <c r="N167" s="2059"/>
      <c r="O167" s="2059"/>
      <c r="P167" s="2059"/>
      <c r="Q167" s="2001">
        <v>55</v>
      </c>
      <c r="R167" s="2001"/>
      <c r="S167" s="2001"/>
      <c r="T167" s="2052"/>
      <c r="U167" s="2052"/>
      <c r="V167" s="2052"/>
      <c r="W167" s="2052"/>
      <c r="X167" s="2052"/>
      <c r="Y167" s="2052"/>
      <c r="Z167" s="2052"/>
      <c r="AA167" s="2052"/>
      <c r="AB167" s="2062">
        <v>0</v>
      </c>
      <c r="AC167" s="2062"/>
      <c r="AD167" s="2062"/>
      <c r="AE167" s="2062"/>
      <c r="AF167" s="2062"/>
      <c r="AG167" s="2063"/>
      <c r="AH167" s="1189"/>
      <c r="AI167" s="1189"/>
      <c r="AJ167" s="1189"/>
      <c r="AK167" s="1189"/>
      <c r="AL167" s="1189"/>
      <c r="AM167" s="1189"/>
      <c r="AN167" s="1189"/>
      <c r="AO167" s="1189"/>
      <c r="AP167" s="1189"/>
      <c r="AQ167" s="1189"/>
      <c r="AR167" s="1189"/>
      <c r="AS167" s="1189"/>
      <c r="AT167" s="1189"/>
      <c r="AU167" s="1189"/>
      <c r="AV167" s="1189"/>
      <c r="AW167" s="1189"/>
      <c r="AX167" s="1189"/>
      <c r="AY167" s="1189"/>
      <c r="AZ167" s="1189"/>
      <c r="BA167" s="1189"/>
      <c r="BB167" s="1189"/>
      <c r="BC167" s="1189"/>
      <c r="BD167" s="1189"/>
      <c r="BE167" s="1193"/>
    </row>
    <row r="168" spans="1:57" ht="15.75" customHeight="1">
      <c r="A168" s="1189"/>
      <c r="B168" s="1189"/>
      <c r="C168" s="2058" t="s">
        <v>170</v>
      </c>
      <c r="D168" s="2059"/>
      <c r="E168" s="2059"/>
      <c r="F168" s="2060" t="s">
        <v>2317</v>
      </c>
      <c r="G168" s="2060"/>
      <c r="H168" s="2060"/>
      <c r="I168" s="2060"/>
      <c r="J168" s="2060"/>
      <c r="K168" s="2060"/>
      <c r="L168" s="2060"/>
      <c r="M168" s="2060"/>
      <c r="N168" s="2060"/>
      <c r="O168" s="2060"/>
      <c r="P168" s="2060"/>
      <c r="Q168" s="2001">
        <v>55</v>
      </c>
      <c r="R168" s="2001"/>
      <c r="S168" s="2001"/>
      <c r="T168" s="2061"/>
      <c r="U168" s="2061"/>
      <c r="V168" s="2061"/>
      <c r="W168" s="2061"/>
      <c r="X168" s="2061"/>
      <c r="Y168" s="2061"/>
      <c r="Z168" s="2061"/>
      <c r="AA168" s="2061"/>
      <c r="AB168" s="2062">
        <v>0</v>
      </c>
      <c r="AC168" s="2062"/>
      <c r="AD168" s="2062"/>
      <c r="AE168" s="2062"/>
      <c r="AF168" s="2062"/>
      <c r="AG168" s="2063"/>
      <c r="AH168" s="1189"/>
      <c r="AI168" s="1189"/>
      <c r="AJ168" s="1189"/>
      <c r="AK168" s="1189"/>
      <c r="AL168" s="1189"/>
      <c r="AM168" s="1189"/>
      <c r="AN168" s="1189"/>
      <c r="AO168" s="1189"/>
      <c r="AP168" s="1189"/>
      <c r="AQ168" s="1189"/>
      <c r="AR168" s="1189"/>
      <c r="AS168" s="1189"/>
      <c r="AT168" s="1189"/>
      <c r="AU168" s="1189"/>
      <c r="AV168" s="1189"/>
      <c r="AW168" s="1189"/>
      <c r="AX168" s="1189"/>
      <c r="AY168" s="1189"/>
      <c r="AZ168" s="1189"/>
      <c r="BA168" s="1189"/>
      <c r="BB168" s="1189"/>
      <c r="BC168" s="1189"/>
      <c r="BD168" s="1189"/>
      <c r="BE168" s="1193"/>
    </row>
    <row r="169" spans="1:57" ht="15.75" customHeight="1">
      <c r="A169" s="1189"/>
      <c r="B169" s="1189"/>
      <c r="C169" s="2058" t="s">
        <v>170</v>
      </c>
      <c r="D169" s="2059"/>
      <c r="E169" s="2059"/>
      <c r="F169" s="2060" t="s">
        <v>2317</v>
      </c>
      <c r="G169" s="2060"/>
      <c r="H169" s="2060"/>
      <c r="I169" s="2060"/>
      <c r="J169" s="2060"/>
      <c r="K169" s="2060"/>
      <c r="L169" s="2060"/>
      <c r="M169" s="2060"/>
      <c r="N169" s="2060"/>
      <c r="O169" s="2060"/>
      <c r="P169" s="2060"/>
      <c r="Q169" s="2001">
        <v>55</v>
      </c>
      <c r="R169" s="2001"/>
      <c r="S169" s="2001"/>
      <c r="T169" s="2061"/>
      <c r="U169" s="2061"/>
      <c r="V169" s="2061"/>
      <c r="W169" s="2061"/>
      <c r="X169" s="2061"/>
      <c r="Y169" s="2061"/>
      <c r="Z169" s="2061"/>
      <c r="AA169" s="2061"/>
      <c r="AB169" s="2062">
        <v>0</v>
      </c>
      <c r="AC169" s="2062"/>
      <c r="AD169" s="2062"/>
      <c r="AE169" s="2062"/>
      <c r="AF169" s="2062"/>
      <c r="AG169" s="2063"/>
      <c r="AH169" s="1189"/>
      <c r="AI169" s="1189"/>
      <c r="AJ169" s="1189"/>
      <c r="AK169" s="1189" t="s">
        <v>250</v>
      </c>
      <c r="AL169" s="1189"/>
      <c r="AM169" s="1189"/>
      <c r="AN169" s="1189"/>
      <c r="AO169" s="1189"/>
      <c r="AP169" s="1189"/>
      <c r="AQ169" s="1189"/>
      <c r="AR169" s="1189"/>
      <c r="AS169" s="1189"/>
      <c r="AT169" s="1189"/>
      <c r="AU169" s="1189"/>
      <c r="AV169" s="1189"/>
      <c r="AW169" s="1189"/>
      <c r="AX169" s="1189"/>
      <c r="AY169" s="1189"/>
      <c r="AZ169" s="1189"/>
      <c r="BA169" s="1189"/>
      <c r="BB169" s="1189"/>
      <c r="BC169" s="1189"/>
      <c r="BD169" s="1189"/>
      <c r="BE169" s="1193"/>
    </row>
    <row r="170" spans="1:57" ht="15.75" customHeight="1" thickBot="1">
      <c r="A170" s="1189"/>
      <c r="B170" s="1189"/>
      <c r="C170" s="2064" t="s">
        <v>170</v>
      </c>
      <c r="D170" s="2065"/>
      <c r="E170" s="2065"/>
      <c r="F170" s="2066" t="s">
        <v>2317</v>
      </c>
      <c r="G170" s="2066"/>
      <c r="H170" s="2066"/>
      <c r="I170" s="2066"/>
      <c r="J170" s="2066"/>
      <c r="K170" s="2066"/>
      <c r="L170" s="2066"/>
      <c r="M170" s="2066"/>
      <c r="N170" s="2066"/>
      <c r="O170" s="2066"/>
      <c r="P170" s="2066"/>
      <c r="Q170" s="2067">
        <v>55</v>
      </c>
      <c r="R170" s="2067"/>
      <c r="S170" s="2067"/>
      <c r="T170" s="2068"/>
      <c r="U170" s="2068"/>
      <c r="V170" s="2068"/>
      <c r="W170" s="2068"/>
      <c r="X170" s="2068"/>
      <c r="Y170" s="2068"/>
      <c r="Z170" s="2068"/>
      <c r="AA170" s="2068"/>
      <c r="AB170" s="2069">
        <v>0</v>
      </c>
      <c r="AC170" s="2069"/>
      <c r="AD170" s="2069"/>
      <c r="AE170" s="2069"/>
      <c r="AF170" s="2069"/>
      <c r="AG170" s="2070"/>
      <c r="AH170" s="1189"/>
      <c r="AI170" s="1189"/>
      <c r="AJ170" s="1189"/>
      <c r="AK170" s="1189"/>
      <c r="AL170" s="1189"/>
      <c r="AM170" s="1189"/>
      <c r="AN170" s="1189"/>
      <c r="AO170" s="1189"/>
      <c r="AP170" s="1189"/>
      <c r="AQ170" s="1189"/>
      <c r="AR170" s="1189"/>
      <c r="AS170" s="1189"/>
      <c r="AT170" s="1189"/>
      <c r="AU170" s="1189"/>
      <c r="AV170" s="1189"/>
      <c r="AW170" s="1189"/>
      <c r="AX170" s="1189"/>
      <c r="AY170" s="1189"/>
      <c r="AZ170" s="1189"/>
      <c r="BA170" s="1189"/>
      <c r="BB170" s="1189"/>
      <c r="BC170" s="1189"/>
      <c r="BD170" s="1189"/>
      <c r="BE170" s="1193"/>
    </row>
    <row r="171" spans="1:57" ht="15.75" customHeight="1" thickBot="1">
      <c r="A171" s="1189"/>
      <c r="B171" s="1189"/>
      <c r="C171" s="1189"/>
      <c r="D171" s="1189"/>
      <c r="E171" s="1189"/>
      <c r="F171" s="1189"/>
      <c r="G171" s="1189"/>
      <c r="H171" s="1189"/>
      <c r="I171" s="1189"/>
      <c r="J171" s="1189"/>
      <c r="K171" s="1189"/>
      <c r="L171" s="1189"/>
      <c r="M171" s="1189"/>
      <c r="N171" s="1189"/>
      <c r="O171" s="1189"/>
      <c r="P171" s="1189"/>
      <c r="Q171" s="1189"/>
      <c r="R171" s="1189"/>
      <c r="S171" s="1189"/>
      <c r="T171" s="1189"/>
      <c r="U171" s="1189"/>
      <c r="V171" s="1189"/>
      <c r="W171" s="1189"/>
      <c r="X171" s="1189"/>
      <c r="Y171" s="1189"/>
      <c r="Z171" s="1189"/>
      <c r="AA171" s="1189"/>
      <c r="AB171" s="1189"/>
      <c r="AC171" s="1189"/>
      <c r="AD171" s="1189"/>
      <c r="AE171" s="1189"/>
      <c r="AF171" s="1189"/>
      <c r="AG171" s="1189"/>
      <c r="AH171" s="1189"/>
      <c r="AI171" s="1189"/>
      <c r="AJ171" s="1189"/>
      <c r="AK171" s="1189"/>
      <c r="AL171" s="1189"/>
      <c r="AM171" s="1189"/>
      <c r="AN171" s="1189"/>
      <c r="AO171" s="1189"/>
      <c r="AP171" s="1189"/>
      <c r="AQ171" s="1189"/>
      <c r="AR171" s="1189"/>
      <c r="AS171" s="1189"/>
      <c r="AT171" s="1189"/>
      <c r="AU171" s="1189"/>
      <c r="AV171" s="1189"/>
      <c r="AW171" s="1189"/>
      <c r="AX171" s="1189"/>
      <c r="AY171" s="1189"/>
      <c r="AZ171" s="1189"/>
      <c r="BA171" s="1189"/>
      <c r="BB171" s="1189"/>
      <c r="BC171" s="1189"/>
      <c r="BD171" s="1189"/>
      <c r="BE171" s="1193"/>
    </row>
    <row r="172" spans="1:57" ht="15.75" customHeight="1">
      <c r="A172" s="1189"/>
      <c r="B172" s="1189"/>
      <c r="C172" s="2029" t="s">
        <v>2335</v>
      </c>
      <c r="D172" s="2030"/>
      <c r="E172" s="2030"/>
      <c r="F172" s="2030"/>
      <c r="G172" s="2030"/>
      <c r="H172" s="2030"/>
      <c r="I172" s="2030"/>
      <c r="J172" s="2030"/>
      <c r="K172" s="2030"/>
      <c r="L172" s="2030"/>
      <c r="M172" s="2030"/>
      <c r="N172" s="2039"/>
      <c r="O172" s="1189"/>
      <c r="P172" s="2040" t="s">
        <v>2334</v>
      </c>
      <c r="Q172" s="2041"/>
      <c r="R172" s="2041"/>
      <c r="S172" s="2041"/>
      <c r="T172" s="2041"/>
      <c r="U172" s="2041"/>
      <c r="V172" s="2041"/>
      <c r="W172" s="2041"/>
      <c r="X172" s="2041"/>
      <c r="Y172" s="2041"/>
      <c r="Z172" s="2041"/>
      <c r="AA172" s="2041"/>
      <c r="AB172" s="2041"/>
      <c r="AC172" s="2041"/>
      <c r="AD172" s="2041"/>
      <c r="AE172" s="2041"/>
      <c r="AF172" s="2041"/>
      <c r="AG172" s="2041"/>
      <c r="AH172" s="2041"/>
      <c r="AI172" s="2041"/>
      <c r="AJ172" s="2041"/>
      <c r="AK172" s="2041"/>
      <c r="AL172" s="2041"/>
      <c r="AM172" s="2041"/>
      <c r="AN172" s="2041"/>
      <c r="AO172" s="2042"/>
      <c r="AP172" s="1189"/>
      <c r="AQ172" s="1189"/>
      <c r="AR172" s="1189"/>
      <c r="AS172" s="1189"/>
      <c r="AT172" s="1189"/>
      <c r="AU172" s="1189"/>
      <c r="AV172" s="1189"/>
      <c r="AW172" s="1189"/>
      <c r="AX172" s="1189"/>
      <c r="AY172" s="1189"/>
      <c r="AZ172" s="1189"/>
      <c r="BA172" s="1189"/>
      <c r="BB172" s="1189"/>
      <c r="BC172" s="1189"/>
      <c r="BD172" s="1189"/>
      <c r="BE172" s="1193"/>
    </row>
    <row r="173" spans="1:57" ht="15.75" customHeight="1">
      <c r="A173" s="1189"/>
      <c r="B173" s="1189"/>
      <c r="C173" s="2043" t="s">
        <v>2333</v>
      </c>
      <c r="D173" s="2044"/>
      <c r="E173" s="2044"/>
      <c r="F173" s="2044"/>
      <c r="G173" s="2044"/>
      <c r="H173" s="2044"/>
      <c r="I173" s="2044" t="s">
        <v>2332</v>
      </c>
      <c r="J173" s="2044"/>
      <c r="K173" s="2044"/>
      <c r="L173" s="2044"/>
      <c r="M173" s="2044"/>
      <c r="N173" s="2045"/>
      <c r="O173" s="1189"/>
      <c r="P173" s="2046" t="s">
        <v>2331</v>
      </c>
      <c r="Q173" s="2047"/>
      <c r="R173" s="2047"/>
      <c r="S173" s="2047"/>
      <c r="T173" s="2047"/>
      <c r="U173" s="2047"/>
      <c r="V173" s="2047"/>
      <c r="W173" s="2047"/>
      <c r="X173" s="2047"/>
      <c r="Y173" s="2047"/>
      <c r="Z173" s="2047"/>
      <c r="AA173" s="2047"/>
      <c r="AB173" s="2047"/>
      <c r="AC173" s="2047"/>
      <c r="AD173" s="2047"/>
      <c r="AE173" s="2047"/>
      <c r="AF173" s="2047"/>
      <c r="AG173" s="2047"/>
      <c r="AH173" s="2047"/>
      <c r="AI173" s="2047"/>
      <c r="AJ173" s="2047"/>
      <c r="AK173" s="2047"/>
      <c r="AL173" s="2047"/>
      <c r="AM173" s="2047"/>
      <c r="AN173" s="2047"/>
      <c r="AO173" s="2048"/>
      <c r="AP173" s="1189"/>
      <c r="AQ173" s="1189"/>
      <c r="AR173" s="1189"/>
      <c r="AS173" s="1189"/>
      <c r="AT173" s="1189"/>
      <c r="AU173" s="1189"/>
      <c r="AV173" s="1189"/>
      <c r="AW173" s="1189"/>
      <c r="AX173" s="1189"/>
      <c r="AY173" s="1189"/>
      <c r="AZ173" s="1189"/>
      <c r="BA173" s="1189"/>
      <c r="BB173" s="1189"/>
      <c r="BC173" s="1189"/>
      <c r="BD173" s="1189"/>
      <c r="BE173" s="1193"/>
    </row>
    <row r="174" spans="1:57" ht="15.75" customHeight="1">
      <c r="A174" s="1189"/>
      <c r="B174" s="1189"/>
      <c r="C174" s="1991"/>
      <c r="D174" s="1992"/>
      <c r="E174" s="1992"/>
      <c r="F174" s="1992"/>
      <c r="G174" s="1992"/>
      <c r="H174" s="1992"/>
      <c r="I174" s="2052"/>
      <c r="J174" s="2052"/>
      <c r="K174" s="2052"/>
      <c r="L174" s="2052"/>
      <c r="M174" s="2052"/>
      <c r="N174" s="2053"/>
      <c r="O174" s="1189"/>
      <c r="P174" s="2046"/>
      <c r="Q174" s="2047"/>
      <c r="R174" s="2047"/>
      <c r="S174" s="2047"/>
      <c r="T174" s="2047"/>
      <c r="U174" s="2047"/>
      <c r="V174" s="2047"/>
      <c r="W174" s="2047"/>
      <c r="X174" s="2047"/>
      <c r="Y174" s="2047"/>
      <c r="Z174" s="2047"/>
      <c r="AA174" s="2047"/>
      <c r="AB174" s="2047"/>
      <c r="AC174" s="2047"/>
      <c r="AD174" s="2047"/>
      <c r="AE174" s="2047"/>
      <c r="AF174" s="2047"/>
      <c r="AG174" s="2047"/>
      <c r="AH174" s="2047"/>
      <c r="AI174" s="2047"/>
      <c r="AJ174" s="2047"/>
      <c r="AK174" s="2047"/>
      <c r="AL174" s="2047"/>
      <c r="AM174" s="2047"/>
      <c r="AN174" s="2047"/>
      <c r="AO174" s="2048"/>
      <c r="AP174" s="1189"/>
      <c r="AQ174" s="1189"/>
      <c r="AR174" s="1189"/>
      <c r="AS174" s="1189"/>
      <c r="AT174" s="1189"/>
      <c r="AU174" s="1189"/>
      <c r="AV174" s="1189"/>
      <c r="AW174" s="1189"/>
      <c r="AX174" s="1189"/>
      <c r="AY174" s="1189"/>
      <c r="AZ174" s="1189"/>
      <c r="BA174" s="1189"/>
      <c r="BB174" s="1189"/>
      <c r="BC174" s="1189"/>
      <c r="BD174" s="1189"/>
      <c r="BE174" s="1193"/>
    </row>
    <row r="175" spans="1:57" ht="15.75" customHeight="1">
      <c r="A175" s="1189"/>
      <c r="B175" s="1189"/>
      <c r="C175" s="1991"/>
      <c r="D175" s="1992"/>
      <c r="E175" s="1992"/>
      <c r="F175" s="1992"/>
      <c r="G175" s="1992"/>
      <c r="H175" s="1992"/>
      <c r="I175" s="2052"/>
      <c r="J175" s="2052"/>
      <c r="K175" s="2052"/>
      <c r="L175" s="2052"/>
      <c r="M175" s="2052"/>
      <c r="N175" s="2053"/>
      <c r="O175" s="1189"/>
      <c r="P175" s="2046"/>
      <c r="Q175" s="2047"/>
      <c r="R175" s="2047"/>
      <c r="S175" s="2047"/>
      <c r="T175" s="2047"/>
      <c r="U175" s="2047"/>
      <c r="V175" s="2047"/>
      <c r="W175" s="2047"/>
      <c r="X175" s="2047"/>
      <c r="Y175" s="2047"/>
      <c r="Z175" s="2047"/>
      <c r="AA175" s="2047"/>
      <c r="AB175" s="2047"/>
      <c r="AC175" s="2047"/>
      <c r="AD175" s="2047"/>
      <c r="AE175" s="2047"/>
      <c r="AF175" s="2047"/>
      <c r="AG175" s="2047"/>
      <c r="AH175" s="2047"/>
      <c r="AI175" s="2047"/>
      <c r="AJ175" s="2047"/>
      <c r="AK175" s="2047"/>
      <c r="AL175" s="2047"/>
      <c r="AM175" s="2047"/>
      <c r="AN175" s="2047"/>
      <c r="AO175" s="2048"/>
      <c r="AP175" s="1189"/>
      <c r="AQ175" s="1189"/>
      <c r="AR175" s="1189"/>
      <c r="AS175" s="1189"/>
      <c r="AT175" s="1189"/>
      <c r="AU175" s="1189"/>
      <c r="AV175" s="1189"/>
      <c r="AW175" s="1189"/>
      <c r="AX175" s="1189"/>
      <c r="AY175" s="1189"/>
      <c r="AZ175" s="1189"/>
      <c r="BA175" s="1189"/>
      <c r="BB175" s="1189"/>
      <c r="BC175" s="1189"/>
      <c r="BD175" s="1189"/>
      <c r="BE175" s="1193"/>
    </row>
    <row r="176" spans="1:57" ht="15.75" customHeight="1">
      <c r="A176" s="1189"/>
      <c r="B176" s="1189"/>
      <c r="C176" s="1991"/>
      <c r="D176" s="1992"/>
      <c r="E176" s="1992"/>
      <c r="F176" s="1992"/>
      <c r="G176" s="1992"/>
      <c r="H176" s="1992"/>
      <c r="I176" s="2052"/>
      <c r="J176" s="2052"/>
      <c r="K176" s="2052"/>
      <c r="L176" s="2052"/>
      <c r="M176" s="2052"/>
      <c r="N176" s="2053"/>
      <c r="O176" s="1189"/>
      <c r="P176" s="2046"/>
      <c r="Q176" s="2047"/>
      <c r="R176" s="2047"/>
      <c r="S176" s="2047"/>
      <c r="T176" s="2047"/>
      <c r="U176" s="2047"/>
      <c r="V176" s="2047"/>
      <c r="W176" s="2047"/>
      <c r="X176" s="2047"/>
      <c r="Y176" s="2047"/>
      <c r="Z176" s="2047"/>
      <c r="AA176" s="2047"/>
      <c r="AB176" s="2047"/>
      <c r="AC176" s="2047"/>
      <c r="AD176" s="2047"/>
      <c r="AE176" s="2047"/>
      <c r="AF176" s="2047"/>
      <c r="AG176" s="2047"/>
      <c r="AH176" s="2047"/>
      <c r="AI176" s="2047"/>
      <c r="AJ176" s="2047"/>
      <c r="AK176" s="2047"/>
      <c r="AL176" s="2047"/>
      <c r="AM176" s="2047"/>
      <c r="AN176" s="2047"/>
      <c r="AO176" s="2048"/>
      <c r="AP176" s="1189"/>
      <c r="AQ176" s="1189"/>
      <c r="AR176" s="1189"/>
      <c r="AS176" s="1189"/>
      <c r="AT176" s="1189"/>
      <c r="AU176" s="1189"/>
      <c r="AV176" s="1189"/>
      <c r="AW176" s="1189"/>
      <c r="AX176" s="1189"/>
      <c r="AY176" s="1189"/>
      <c r="AZ176" s="1189"/>
      <c r="BA176" s="1189"/>
      <c r="BB176" s="1189"/>
      <c r="BC176" s="1189"/>
      <c r="BD176" s="1189"/>
      <c r="BE176" s="1193"/>
    </row>
    <row r="177" spans="1:57" ht="15.75" customHeight="1">
      <c r="A177" s="1189"/>
      <c r="B177" s="1189"/>
      <c r="C177" s="1991"/>
      <c r="D177" s="1992"/>
      <c r="E177" s="1992"/>
      <c r="F177" s="1992"/>
      <c r="G177" s="1992"/>
      <c r="H177" s="1992"/>
      <c r="I177" s="2052"/>
      <c r="J177" s="2052"/>
      <c r="K177" s="2052"/>
      <c r="L177" s="2052"/>
      <c r="M177" s="2052"/>
      <c r="N177" s="2053"/>
      <c r="O177" s="1189"/>
      <c r="P177" s="2046"/>
      <c r="Q177" s="2047"/>
      <c r="R177" s="2047"/>
      <c r="S177" s="2047"/>
      <c r="T177" s="2047"/>
      <c r="U177" s="2047"/>
      <c r="V177" s="2047"/>
      <c r="W177" s="2047"/>
      <c r="X177" s="2047"/>
      <c r="Y177" s="2047"/>
      <c r="Z177" s="2047"/>
      <c r="AA177" s="2047"/>
      <c r="AB177" s="2047"/>
      <c r="AC177" s="2047"/>
      <c r="AD177" s="2047"/>
      <c r="AE177" s="2047"/>
      <c r="AF177" s="2047"/>
      <c r="AG177" s="2047"/>
      <c r="AH177" s="2047"/>
      <c r="AI177" s="2047"/>
      <c r="AJ177" s="2047"/>
      <c r="AK177" s="2047"/>
      <c r="AL177" s="2047"/>
      <c r="AM177" s="2047"/>
      <c r="AN177" s="2047"/>
      <c r="AO177" s="2048"/>
      <c r="AP177" s="1189"/>
      <c r="AQ177" s="1189"/>
      <c r="AR177" s="1189"/>
      <c r="AS177" s="1189"/>
      <c r="AT177" s="1189"/>
      <c r="AU177" s="1189"/>
      <c r="AV177" s="1189"/>
      <c r="AW177" s="1189"/>
      <c r="AX177" s="1189"/>
      <c r="AY177" s="1189"/>
      <c r="AZ177" s="1189"/>
      <c r="BA177" s="1189"/>
      <c r="BB177" s="1189"/>
      <c r="BC177" s="1189"/>
      <c r="BD177" s="1189"/>
      <c r="BE177" s="1193"/>
    </row>
    <row r="178" spans="1:57" ht="15.75" customHeight="1">
      <c r="A178" s="1189"/>
      <c r="B178" s="1189"/>
      <c r="C178" s="1991"/>
      <c r="D178" s="1992"/>
      <c r="E178" s="1992"/>
      <c r="F178" s="1992"/>
      <c r="G178" s="1992"/>
      <c r="H178" s="1992"/>
      <c r="I178" s="2052"/>
      <c r="J178" s="2052"/>
      <c r="K178" s="2052"/>
      <c r="L178" s="2052"/>
      <c r="M178" s="2052"/>
      <c r="N178" s="2053"/>
      <c r="O178" s="1189"/>
      <c r="P178" s="2046"/>
      <c r="Q178" s="2047"/>
      <c r="R178" s="2047"/>
      <c r="S178" s="2047"/>
      <c r="T178" s="2047"/>
      <c r="U178" s="2047"/>
      <c r="V178" s="2047"/>
      <c r="W178" s="2047"/>
      <c r="X178" s="2047"/>
      <c r="Y178" s="2047"/>
      <c r="Z178" s="2047"/>
      <c r="AA178" s="2047"/>
      <c r="AB178" s="2047"/>
      <c r="AC178" s="2047"/>
      <c r="AD178" s="2047"/>
      <c r="AE178" s="2047"/>
      <c r="AF178" s="2047"/>
      <c r="AG178" s="2047"/>
      <c r="AH178" s="2047"/>
      <c r="AI178" s="2047"/>
      <c r="AJ178" s="2047"/>
      <c r="AK178" s="2047"/>
      <c r="AL178" s="2047"/>
      <c r="AM178" s="2047"/>
      <c r="AN178" s="2047"/>
      <c r="AO178" s="2048"/>
      <c r="AP178" s="1189"/>
      <c r="AQ178" s="1189"/>
      <c r="AR178" s="1189"/>
      <c r="AS178" s="1189"/>
      <c r="AT178" s="1189"/>
      <c r="AU178" s="1189"/>
      <c r="AV178" s="1189"/>
      <c r="AW178" s="1189"/>
      <c r="AX178" s="1189"/>
      <c r="AY178" s="1189"/>
      <c r="AZ178" s="1189"/>
      <c r="BA178" s="1189"/>
      <c r="BB178" s="1189"/>
      <c r="BC178" s="1189"/>
      <c r="BD178" s="1189"/>
      <c r="BE178" s="1193"/>
    </row>
    <row r="179" spans="1:57" ht="15.75" customHeight="1">
      <c r="A179" s="1189"/>
      <c r="B179" s="1189"/>
      <c r="C179" s="1991"/>
      <c r="D179" s="1992"/>
      <c r="E179" s="1992"/>
      <c r="F179" s="1992"/>
      <c r="G179" s="1992"/>
      <c r="H179" s="1992"/>
      <c r="I179" s="2052"/>
      <c r="J179" s="2052"/>
      <c r="K179" s="2052"/>
      <c r="L179" s="2052"/>
      <c r="M179" s="2052"/>
      <c r="N179" s="2053"/>
      <c r="O179" s="1189"/>
      <c r="P179" s="2046"/>
      <c r="Q179" s="2047"/>
      <c r="R179" s="2047"/>
      <c r="S179" s="2047"/>
      <c r="T179" s="2047"/>
      <c r="U179" s="2047"/>
      <c r="V179" s="2047"/>
      <c r="W179" s="2047"/>
      <c r="X179" s="2047"/>
      <c r="Y179" s="2047"/>
      <c r="Z179" s="2047"/>
      <c r="AA179" s="2047"/>
      <c r="AB179" s="2047"/>
      <c r="AC179" s="2047"/>
      <c r="AD179" s="2047"/>
      <c r="AE179" s="2047"/>
      <c r="AF179" s="2047"/>
      <c r="AG179" s="2047"/>
      <c r="AH179" s="2047"/>
      <c r="AI179" s="2047"/>
      <c r="AJ179" s="2047"/>
      <c r="AK179" s="2047"/>
      <c r="AL179" s="2047"/>
      <c r="AM179" s="2047"/>
      <c r="AN179" s="2047"/>
      <c r="AO179" s="2048"/>
      <c r="AP179" s="1189"/>
      <c r="AQ179" s="1189"/>
      <c r="AR179" s="1189"/>
      <c r="AS179" s="1189"/>
      <c r="AT179" s="1189"/>
      <c r="AU179" s="1189"/>
      <c r="AV179" s="1189"/>
      <c r="AW179" s="1189"/>
      <c r="AX179" s="1189"/>
      <c r="AY179" s="1189"/>
      <c r="AZ179" s="1189"/>
      <c r="BA179" s="1189"/>
      <c r="BB179" s="1189"/>
      <c r="BC179" s="1189"/>
      <c r="BD179" s="1189"/>
      <c r="BE179" s="1193"/>
    </row>
    <row r="180" spans="1:57" ht="15.75" customHeight="1" thickBot="1">
      <c r="A180" s="1189"/>
      <c r="B180" s="1189"/>
      <c r="C180" s="2054"/>
      <c r="D180" s="2055"/>
      <c r="E180" s="2055"/>
      <c r="F180" s="2055"/>
      <c r="G180" s="2055"/>
      <c r="H180" s="2055"/>
      <c r="I180" s="2056"/>
      <c r="J180" s="2056"/>
      <c r="K180" s="2056"/>
      <c r="L180" s="2056"/>
      <c r="M180" s="2056"/>
      <c r="N180" s="2057"/>
      <c r="O180" s="1189"/>
      <c r="P180" s="2049"/>
      <c r="Q180" s="2050"/>
      <c r="R180" s="2050"/>
      <c r="S180" s="2050"/>
      <c r="T180" s="2050"/>
      <c r="U180" s="2050"/>
      <c r="V180" s="2050"/>
      <c r="W180" s="2050"/>
      <c r="X180" s="2050"/>
      <c r="Y180" s="2050"/>
      <c r="Z180" s="2050"/>
      <c r="AA180" s="2050"/>
      <c r="AB180" s="2050"/>
      <c r="AC180" s="2050"/>
      <c r="AD180" s="2050"/>
      <c r="AE180" s="2050"/>
      <c r="AF180" s="2050"/>
      <c r="AG180" s="2050"/>
      <c r="AH180" s="2050"/>
      <c r="AI180" s="2050"/>
      <c r="AJ180" s="2050"/>
      <c r="AK180" s="2050"/>
      <c r="AL180" s="2050"/>
      <c r="AM180" s="2050"/>
      <c r="AN180" s="2050"/>
      <c r="AO180" s="2051"/>
      <c r="AP180" s="1189"/>
      <c r="AQ180" s="1189"/>
      <c r="AR180" s="1189"/>
      <c r="AS180" s="1189"/>
      <c r="AT180" s="1189"/>
      <c r="AU180" s="1189"/>
      <c r="AV180" s="1189"/>
      <c r="AW180" s="1189"/>
      <c r="AX180" s="1189"/>
      <c r="AY180" s="1189"/>
      <c r="AZ180" s="1189"/>
      <c r="BA180" s="1189"/>
      <c r="BB180" s="1189"/>
      <c r="BC180" s="1189"/>
      <c r="BD180" s="1189"/>
      <c r="BE180" s="1193"/>
    </row>
    <row r="181" spans="1:57" ht="15.75" customHeight="1" thickBot="1">
      <c r="A181" s="1189"/>
      <c r="B181" s="1189"/>
      <c r="C181" s="1189"/>
      <c r="D181" s="1189"/>
      <c r="E181" s="1189"/>
      <c r="F181" s="1189"/>
      <c r="G181" s="1189"/>
      <c r="H181" s="1189"/>
      <c r="I181" s="1189"/>
      <c r="J181" s="1189"/>
      <c r="K181" s="1189"/>
      <c r="L181" s="1189"/>
      <c r="M181" s="1189"/>
      <c r="N181" s="1189"/>
      <c r="O181" s="1189"/>
      <c r="P181" s="1189"/>
      <c r="Q181" s="1189"/>
      <c r="R181" s="1189"/>
      <c r="S181" s="1189"/>
      <c r="T181" s="1189"/>
      <c r="U181" s="1189"/>
      <c r="V181" s="1189"/>
      <c r="W181" s="1189"/>
      <c r="X181" s="1189"/>
      <c r="Y181" s="1189"/>
      <c r="Z181" s="1189"/>
      <c r="AA181" s="1189"/>
      <c r="AB181" s="1189"/>
      <c r="AC181" s="1189"/>
      <c r="AD181" s="1189"/>
      <c r="AE181" s="1189"/>
      <c r="AF181" s="1189"/>
      <c r="AG181" s="1189"/>
      <c r="AH181" s="1189"/>
      <c r="AI181" s="1189"/>
      <c r="AJ181" s="1189"/>
      <c r="AK181" s="1189"/>
      <c r="AL181" s="1189"/>
      <c r="AM181" s="1189"/>
      <c r="AN181" s="1189"/>
      <c r="AO181" s="1189"/>
      <c r="AP181" s="1189"/>
      <c r="AQ181" s="1189"/>
      <c r="AR181" s="1189"/>
      <c r="AS181" s="1189"/>
      <c r="AT181" s="1189"/>
      <c r="AU181" s="1189"/>
      <c r="AV181" s="1189"/>
      <c r="AW181" s="1189"/>
      <c r="AX181" s="1189"/>
      <c r="AY181" s="1189"/>
      <c r="AZ181" s="1189"/>
      <c r="BA181" s="1189"/>
      <c r="BB181" s="1189"/>
      <c r="BC181" s="1189"/>
      <c r="BD181" s="1189"/>
      <c r="BE181" s="1193"/>
    </row>
    <row r="182" spans="1:57" ht="15.75" customHeight="1">
      <c r="A182" s="1189"/>
      <c r="B182" s="1189"/>
      <c r="C182" s="2020" t="s">
        <v>2330</v>
      </c>
      <c r="D182" s="2021"/>
      <c r="E182" s="2021"/>
      <c r="F182" s="2021"/>
      <c r="G182" s="2021"/>
      <c r="H182" s="2021"/>
      <c r="I182" s="2021"/>
      <c r="J182" s="2021"/>
      <c r="K182" s="2021"/>
      <c r="L182" s="2021"/>
      <c r="M182" s="2021"/>
      <c r="N182" s="2021"/>
      <c r="O182" s="2021"/>
      <c r="P182" s="2021"/>
      <c r="Q182" s="2021"/>
      <c r="R182" s="2021"/>
      <c r="S182" s="2021"/>
      <c r="T182" s="2021"/>
      <c r="U182" s="2021"/>
      <c r="V182" s="2021"/>
      <c r="W182" s="2021"/>
      <c r="X182" s="2021"/>
      <c r="Y182" s="2021"/>
      <c r="Z182" s="2021"/>
      <c r="AA182" s="2021"/>
      <c r="AB182" s="2021"/>
      <c r="AC182" s="2021"/>
      <c r="AD182" s="2021"/>
      <c r="AE182" s="2022"/>
      <c r="AF182" s="1189"/>
      <c r="AG182" s="1189"/>
      <c r="AH182" s="1905"/>
      <c r="AI182" s="1905"/>
      <c r="AJ182" s="1905"/>
      <c r="AK182" s="1905"/>
      <c r="AL182" s="1905"/>
      <c r="AM182" s="1905"/>
      <c r="AN182" s="1905"/>
      <c r="AO182" s="1905"/>
      <c r="AP182" s="1905"/>
      <c r="AQ182" s="1905"/>
      <c r="AR182" s="1905"/>
      <c r="AS182" s="1905"/>
      <c r="AT182" s="1905"/>
      <c r="AU182" s="1905"/>
      <c r="AV182" s="1905"/>
      <c r="AW182" s="1905"/>
      <c r="AX182" s="1905"/>
      <c r="AY182" s="1905"/>
      <c r="AZ182" s="1905"/>
      <c r="BA182" s="1905"/>
      <c r="BB182" s="1905"/>
      <c r="BC182" s="1905"/>
      <c r="BD182" s="1905"/>
      <c r="BE182" s="1905"/>
    </row>
    <row r="183" spans="1:57" ht="15.75" customHeight="1" thickBot="1">
      <c r="A183" s="1189"/>
      <c r="B183" s="1189"/>
      <c r="C183" s="2023"/>
      <c r="D183" s="2024"/>
      <c r="E183" s="2024"/>
      <c r="F183" s="2024"/>
      <c r="G183" s="2024"/>
      <c r="H183" s="2024"/>
      <c r="I183" s="2024"/>
      <c r="J183" s="2024"/>
      <c r="K183" s="2024"/>
      <c r="L183" s="2024"/>
      <c r="M183" s="2024"/>
      <c r="N183" s="2024"/>
      <c r="O183" s="2024"/>
      <c r="P183" s="2024"/>
      <c r="Q183" s="2024"/>
      <c r="R183" s="2024"/>
      <c r="S183" s="2024"/>
      <c r="T183" s="2024"/>
      <c r="U183" s="2024"/>
      <c r="V183" s="2024"/>
      <c r="W183" s="2024"/>
      <c r="X183" s="2024"/>
      <c r="Y183" s="2024"/>
      <c r="Z183" s="2024"/>
      <c r="AA183" s="2024"/>
      <c r="AB183" s="2024"/>
      <c r="AC183" s="2024"/>
      <c r="AD183" s="2024"/>
      <c r="AE183" s="2025"/>
      <c r="AF183" s="1189"/>
      <c r="AG183" s="1189"/>
      <c r="AH183" s="1905"/>
      <c r="AI183" s="1905"/>
      <c r="AJ183" s="1905"/>
      <c r="AK183" s="1905"/>
      <c r="AL183" s="1905"/>
      <c r="AM183" s="1905"/>
      <c r="AN183" s="1905"/>
      <c r="AO183" s="1905"/>
      <c r="AP183" s="1905"/>
      <c r="AQ183" s="1905"/>
      <c r="AR183" s="1905"/>
      <c r="AS183" s="1905"/>
      <c r="AT183" s="1905"/>
      <c r="AU183" s="1905"/>
      <c r="AV183" s="1905"/>
      <c r="AW183" s="1905"/>
      <c r="AX183" s="1905"/>
      <c r="AY183" s="1905"/>
      <c r="AZ183" s="1905"/>
      <c r="BA183" s="1905"/>
      <c r="BB183" s="1905"/>
      <c r="BC183" s="1905"/>
      <c r="BD183" s="1905"/>
      <c r="BE183" s="1905"/>
    </row>
    <row r="184" spans="1:57" ht="15.75" customHeight="1">
      <c r="A184" s="1189"/>
      <c r="B184" s="1189"/>
      <c r="C184" s="2029" t="s">
        <v>2328</v>
      </c>
      <c r="D184" s="2030"/>
      <c r="E184" s="2030"/>
      <c r="F184" s="2030"/>
      <c r="G184" s="2030"/>
      <c r="H184" s="2030"/>
      <c r="I184" s="2030"/>
      <c r="J184" s="2030"/>
      <c r="K184" s="2030"/>
      <c r="L184" s="2030"/>
      <c r="M184" s="2030"/>
      <c r="N184" s="2030" t="s">
        <v>2329</v>
      </c>
      <c r="O184" s="2030"/>
      <c r="P184" s="2030"/>
      <c r="Q184" s="2030"/>
      <c r="R184" s="2030"/>
      <c r="S184" s="2030"/>
      <c r="T184" s="2030"/>
      <c r="U184" s="2031" t="s">
        <v>2328</v>
      </c>
      <c r="V184" s="2031"/>
      <c r="W184" s="2031"/>
      <c r="X184" s="2031"/>
      <c r="Y184" s="2031"/>
      <c r="Z184" s="2031"/>
      <c r="AA184" s="2031"/>
      <c r="AB184" s="2031"/>
      <c r="AC184" s="2031"/>
      <c r="AD184" s="2031"/>
      <c r="AE184" s="2032"/>
      <c r="AF184" s="1189"/>
      <c r="AG184" s="1189"/>
      <c r="AH184" s="1905"/>
      <c r="AI184" s="1905"/>
      <c r="AJ184" s="1905"/>
      <c r="AK184" s="1905"/>
      <c r="AL184" s="1905"/>
      <c r="AM184" s="1905"/>
      <c r="AN184" s="1905"/>
      <c r="AO184" s="1905"/>
      <c r="AP184" s="1905"/>
      <c r="AQ184" s="1905"/>
      <c r="AR184" s="1905"/>
      <c r="AS184" s="1905"/>
      <c r="AT184" s="1905"/>
      <c r="AU184" s="1905"/>
      <c r="AV184" s="1905"/>
      <c r="AW184" s="1905"/>
      <c r="AX184" s="1905"/>
      <c r="AY184" s="1905"/>
      <c r="AZ184" s="1905"/>
      <c r="BA184" s="1905"/>
      <c r="BB184" s="1905"/>
      <c r="BC184" s="1905"/>
      <c r="BD184" s="1905"/>
      <c r="BE184" s="1905"/>
    </row>
    <row r="185" spans="1:57" ht="15.75" customHeight="1">
      <c r="A185" s="1189"/>
      <c r="B185" s="1189"/>
      <c r="C185" s="2008" t="s">
        <v>2327</v>
      </c>
      <c r="D185" s="2009"/>
      <c r="E185" s="2009"/>
      <c r="F185" s="2009"/>
      <c r="G185" s="2009"/>
      <c r="H185" s="2009"/>
      <c r="I185" s="2009"/>
      <c r="J185" s="2009"/>
      <c r="K185" s="2009"/>
      <c r="L185" s="2009"/>
      <c r="M185" s="2009"/>
      <c r="N185" s="2019">
        <f>'Sources and Uses Budget'!B105</f>
        <v>124739671</v>
      </c>
      <c r="O185" s="2019"/>
      <c r="P185" s="2019"/>
      <c r="Q185" s="2019"/>
      <c r="R185" s="2019"/>
      <c r="S185" s="2019"/>
      <c r="T185" s="2019"/>
      <c r="U185" s="2033"/>
      <c r="V185" s="2033"/>
      <c r="W185" s="2033"/>
      <c r="X185" s="2033"/>
      <c r="Y185" s="2033"/>
      <c r="Z185" s="2033"/>
      <c r="AA185" s="2033"/>
      <c r="AB185" s="2033"/>
      <c r="AC185" s="2033"/>
      <c r="AD185" s="2033"/>
      <c r="AE185" s="2034"/>
      <c r="AF185" s="1189"/>
      <c r="AG185" s="1189"/>
      <c r="AH185" s="1905"/>
      <c r="AI185" s="1905"/>
      <c r="AJ185" s="1905"/>
      <c r="AK185" s="1905"/>
      <c r="AL185" s="1905"/>
      <c r="AM185" s="1905"/>
      <c r="AN185" s="1905"/>
      <c r="AO185" s="1905"/>
      <c r="AP185" s="1905"/>
      <c r="AQ185" s="1905"/>
      <c r="AR185" s="1905"/>
      <c r="AS185" s="1905"/>
      <c r="AT185" s="1905"/>
      <c r="AU185" s="1905"/>
      <c r="AV185" s="1905"/>
      <c r="AW185" s="1905"/>
      <c r="AX185" s="1905"/>
      <c r="AY185" s="1905"/>
      <c r="AZ185" s="1905"/>
      <c r="BA185" s="1905"/>
      <c r="BB185" s="1905"/>
      <c r="BC185" s="1905"/>
      <c r="BD185" s="1905"/>
      <c r="BE185" s="1905"/>
    </row>
    <row r="186" spans="1:57" ht="15.75" customHeight="1">
      <c r="A186" s="1189"/>
      <c r="B186" s="1189"/>
      <c r="C186" s="2008" t="s">
        <v>2326</v>
      </c>
      <c r="D186" s="2009"/>
      <c r="E186" s="2009"/>
      <c r="F186" s="2009"/>
      <c r="G186" s="2009"/>
      <c r="H186" s="2009"/>
      <c r="I186" s="2009"/>
      <c r="J186" s="2009"/>
      <c r="K186" s="2009"/>
      <c r="L186" s="2009"/>
      <c r="M186" s="2009"/>
      <c r="N186" s="2019">
        <f>N185/J29</f>
        <v>315796.63544303796</v>
      </c>
      <c r="O186" s="2019"/>
      <c r="P186" s="2019"/>
      <c r="Q186" s="2019"/>
      <c r="R186" s="2019"/>
      <c r="S186" s="2019"/>
      <c r="T186" s="2019"/>
      <c r="U186" s="1227"/>
      <c r="V186" s="1227"/>
      <c r="W186" s="1227"/>
      <c r="X186" s="1227"/>
      <c r="Y186" s="1227"/>
      <c r="Z186" s="1227"/>
      <c r="AA186" s="1227"/>
      <c r="AB186" s="1227"/>
      <c r="AC186" s="1227"/>
      <c r="AD186" s="1227"/>
      <c r="AE186" s="1228"/>
      <c r="AF186" s="1189"/>
      <c r="AG186" s="1189"/>
      <c r="AH186" s="1905"/>
      <c r="AI186" s="1905"/>
      <c r="AJ186" s="1905"/>
      <c r="AK186" s="1905"/>
      <c r="AL186" s="1905"/>
      <c r="AM186" s="1905"/>
      <c r="AN186" s="1905"/>
      <c r="AO186" s="1905"/>
      <c r="AP186" s="1905"/>
      <c r="AQ186" s="1905"/>
      <c r="AR186" s="1905"/>
      <c r="AS186" s="1905"/>
      <c r="AT186" s="1905"/>
      <c r="AU186" s="1905"/>
      <c r="AV186" s="1905"/>
      <c r="AW186" s="1905"/>
      <c r="AX186" s="1905"/>
      <c r="AY186" s="1905"/>
      <c r="AZ186" s="1905"/>
      <c r="BA186" s="1905"/>
      <c r="BB186" s="1905"/>
      <c r="BC186" s="1905"/>
      <c r="BD186" s="1905"/>
      <c r="BE186" s="1905"/>
    </row>
    <row r="187" spans="1:57" ht="15.75" customHeight="1">
      <c r="A187" s="1189"/>
      <c r="B187" s="1189"/>
      <c r="C187" s="2035" t="s">
        <v>2325</v>
      </c>
      <c r="D187" s="2036"/>
      <c r="E187" s="2036"/>
      <c r="F187" s="2036"/>
      <c r="G187" s="2036"/>
      <c r="H187" s="2036"/>
      <c r="I187" s="2036"/>
      <c r="J187" s="2036"/>
      <c r="K187" s="2036"/>
      <c r="L187" s="2036"/>
      <c r="M187" s="2036"/>
      <c r="N187" s="2037">
        <v>0</v>
      </c>
      <c r="O187" s="2037"/>
      <c r="P187" s="2037"/>
      <c r="Q187" s="2037"/>
      <c r="R187" s="2037"/>
      <c r="S187" s="2037"/>
      <c r="T187" s="2037"/>
      <c r="U187" s="1995"/>
      <c r="V187" s="1995"/>
      <c r="W187" s="1995"/>
      <c r="X187" s="1995"/>
      <c r="Y187" s="1995"/>
      <c r="Z187" s="1995"/>
      <c r="AA187" s="1995"/>
      <c r="AB187" s="1995"/>
      <c r="AC187" s="1995"/>
      <c r="AD187" s="1995"/>
      <c r="AE187" s="1996"/>
      <c r="AF187" s="1189"/>
      <c r="AG187" s="1189"/>
      <c r="AH187" s="1905"/>
      <c r="AI187" s="1905"/>
      <c r="AJ187" s="1905"/>
      <c r="AK187" s="1905"/>
      <c r="AL187" s="1905"/>
      <c r="AM187" s="1905"/>
      <c r="AN187" s="1905"/>
      <c r="AO187" s="1905"/>
      <c r="AP187" s="1905"/>
      <c r="AQ187" s="1905"/>
      <c r="AR187" s="1905"/>
      <c r="AS187" s="1905"/>
      <c r="AT187" s="1905"/>
      <c r="AU187" s="1905"/>
      <c r="AV187" s="1905"/>
      <c r="AW187" s="1905"/>
      <c r="AX187" s="1905"/>
      <c r="AY187" s="1905"/>
      <c r="AZ187" s="1905"/>
      <c r="BA187" s="1905"/>
      <c r="BB187" s="1905"/>
      <c r="BC187" s="1905"/>
      <c r="BD187" s="1905"/>
      <c r="BE187" s="1905"/>
    </row>
    <row r="188" spans="1:57" ht="15.75" customHeight="1" thickBot="1">
      <c r="A188" s="1189"/>
      <c r="B188" s="1189"/>
      <c r="C188" s="2008" t="s">
        <v>2324</v>
      </c>
      <c r="D188" s="2009"/>
      <c r="E188" s="2009"/>
      <c r="F188" s="2009"/>
      <c r="G188" s="2009"/>
      <c r="H188" s="2009"/>
      <c r="I188" s="2009"/>
      <c r="J188" s="2009"/>
      <c r="K188" s="2009"/>
      <c r="L188" s="2009"/>
      <c r="M188" s="2009"/>
      <c r="N188" s="2038">
        <f>SUM('Sources and Uses Budget'!B85:B86)</f>
        <v>1997820</v>
      </c>
      <c r="O188" s="2038"/>
      <c r="P188" s="2038"/>
      <c r="Q188" s="2038"/>
      <c r="R188" s="2038"/>
      <c r="S188" s="2038"/>
      <c r="T188" s="2038"/>
      <c r="U188" s="1995"/>
      <c r="V188" s="1995"/>
      <c r="W188" s="1995"/>
      <c r="X188" s="1995"/>
      <c r="Y188" s="1995"/>
      <c r="Z188" s="1995"/>
      <c r="AA188" s="1995"/>
      <c r="AB188" s="1995"/>
      <c r="AC188" s="1995"/>
      <c r="AD188" s="1995"/>
      <c r="AE188" s="1996"/>
      <c r="AF188" s="1189"/>
      <c r="AG188" s="1189"/>
      <c r="AH188" s="1905"/>
      <c r="AI188" s="1905"/>
      <c r="AJ188" s="1905"/>
      <c r="AK188" s="1905"/>
      <c r="AL188" s="1905"/>
      <c r="AM188" s="1905"/>
      <c r="AN188" s="1905"/>
      <c r="AO188" s="1905"/>
      <c r="AP188" s="1905"/>
      <c r="AQ188" s="1905"/>
      <c r="AR188" s="1905"/>
      <c r="AS188" s="1905"/>
      <c r="AT188" s="1905"/>
      <c r="AU188" s="1905"/>
      <c r="AV188" s="1905"/>
      <c r="AW188" s="1905"/>
      <c r="AX188" s="1905"/>
      <c r="AY188" s="1905"/>
      <c r="AZ188" s="1905"/>
      <c r="BA188" s="1905"/>
      <c r="BB188" s="1905"/>
      <c r="BC188" s="1905"/>
      <c r="BD188" s="1905"/>
      <c r="BE188" s="1905"/>
    </row>
    <row r="189" spans="1:57" ht="15.75" customHeight="1" thickBot="1">
      <c r="A189" s="1189"/>
      <c r="B189" s="1189"/>
      <c r="C189" s="2008" t="s">
        <v>2323</v>
      </c>
      <c r="D189" s="2009"/>
      <c r="E189" s="2009"/>
      <c r="F189" s="2009"/>
      <c r="G189" s="2009"/>
      <c r="H189" s="2009"/>
      <c r="I189" s="2009"/>
      <c r="J189" s="2009"/>
      <c r="K189" s="2009"/>
      <c r="L189" s="2009"/>
      <c r="M189" s="2009"/>
      <c r="N189" s="2038">
        <f>'Sources and Uses Budget'!B8</f>
        <v>0</v>
      </c>
      <c r="O189" s="2038"/>
      <c r="P189" s="2038"/>
      <c r="Q189" s="2038"/>
      <c r="R189" s="2038"/>
      <c r="S189" s="2038"/>
      <c r="T189" s="2038"/>
      <c r="U189" s="1995"/>
      <c r="V189" s="1995"/>
      <c r="W189" s="1995"/>
      <c r="X189" s="1995"/>
      <c r="Y189" s="1995"/>
      <c r="Z189" s="1995"/>
      <c r="AA189" s="1995"/>
      <c r="AB189" s="1995"/>
      <c r="AC189" s="1995"/>
      <c r="AD189" s="1995"/>
      <c r="AE189" s="1996"/>
      <c r="AF189" s="1189"/>
      <c r="AG189" s="1189"/>
      <c r="AH189" s="2005" t="s">
        <v>2321</v>
      </c>
      <c r="AI189" s="2006"/>
      <c r="AJ189" s="2006"/>
      <c r="AK189" s="2006"/>
      <c r="AL189" s="2006"/>
      <c r="AM189" s="2006"/>
      <c r="AN189" s="2006"/>
      <c r="AO189" s="2006"/>
      <c r="AP189" s="2006"/>
      <c r="AQ189" s="2006"/>
      <c r="AR189" s="2006"/>
      <c r="AS189" s="2006"/>
      <c r="AT189" s="2006"/>
      <c r="AU189" s="2006"/>
      <c r="AV189" s="2006"/>
      <c r="AW189" s="2006"/>
      <c r="AX189" s="2006"/>
      <c r="AY189" s="2006"/>
      <c r="AZ189" s="2006"/>
      <c r="BA189" s="2006"/>
      <c r="BB189" s="2006"/>
      <c r="BC189" s="2006"/>
      <c r="BD189" s="2006"/>
      <c r="BE189" s="2007"/>
    </row>
    <row r="190" spans="1:57" ht="15.75" customHeight="1">
      <c r="A190" s="1189"/>
      <c r="B190" s="1189"/>
      <c r="C190" s="2008" t="s">
        <v>2322</v>
      </c>
      <c r="D190" s="2009"/>
      <c r="E190" s="2009"/>
      <c r="F190" s="2009"/>
      <c r="G190" s="2009"/>
      <c r="H190" s="2009"/>
      <c r="I190" s="2009"/>
      <c r="J190" s="2009"/>
      <c r="K190" s="2009"/>
      <c r="L190" s="2009"/>
      <c r="M190" s="2009"/>
      <c r="N190" s="1994">
        <v>0</v>
      </c>
      <c r="O190" s="1994"/>
      <c r="P190" s="1994"/>
      <c r="Q190" s="1994"/>
      <c r="R190" s="1994"/>
      <c r="S190" s="1994"/>
      <c r="T190" s="1994"/>
      <c r="U190" s="1995"/>
      <c r="V190" s="1995"/>
      <c r="W190" s="1995"/>
      <c r="X190" s="1995"/>
      <c r="Y190" s="1995"/>
      <c r="Z190" s="1995"/>
      <c r="AA190" s="1995"/>
      <c r="AB190" s="1995"/>
      <c r="AC190" s="1995"/>
      <c r="AD190" s="1995"/>
      <c r="AE190" s="1996"/>
      <c r="AF190" s="1189"/>
      <c r="AG190" s="1189"/>
      <c r="AH190" s="2010" t="s">
        <v>2321</v>
      </c>
      <c r="AI190" s="2011"/>
      <c r="AJ190" s="2011"/>
      <c r="AK190" s="2011"/>
      <c r="AL190" s="2011"/>
      <c r="AM190" s="2011"/>
      <c r="AN190" s="2011"/>
      <c r="AO190" s="2011"/>
      <c r="AP190" s="2011"/>
      <c r="AQ190" s="2011"/>
      <c r="AR190" s="2011"/>
      <c r="AS190" s="2011"/>
      <c r="AT190" s="2011"/>
      <c r="AU190" s="2012">
        <v>0</v>
      </c>
      <c r="AV190" s="2012"/>
      <c r="AW190" s="2012"/>
      <c r="AX190" s="2012"/>
      <c r="AY190" s="2012"/>
      <c r="AZ190" s="2012"/>
      <c r="BA190" s="2012"/>
      <c r="BB190" s="2012"/>
      <c r="BC190" s="2013"/>
      <c r="BD190" s="2014"/>
      <c r="BE190" s="2015"/>
    </row>
    <row r="191" spans="1:57" ht="15.75" customHeight="1">
      <c r="A191" s="1189"/>
      <c r="B191" s="1189"/>
      <c r="C191" s="2008" t="s">
        <v>2320</v>
      </c>
      <c r="D191" s="2009"/>
      <c r="E191" s="2009"/>
      <c r="F191" s="2009"/>
      <c r="G191" s="2009"/>
      <c r="H191" s="2009"/>
      <c r="I191" s="2009"/>
      <c r="J191" s="2009"/>
      <c r="K191" s="2009"/>
      <c r="L191" s="2009"/>
      <c r="M191" s="2009"/>
      <c r="N191" s="1994">
        <v>0</v>
      </c>
      <c r="O191" s="1994"/>
      <c r="P191" s="1994"/>
      <c r="Q191" s="1994"/>
      <c r="R191" s="1994"/>
      <c r="S191" s="1994"/>
      <c r="T191" s="1994"/>
      <c r="U191" s="1995"/>
      <c r="V191" s="1995"/>
      <c r="W191" s="1995"/>
      <c r="X191" s="1995"/>
      <c r="Y191" s="1995"/>
      <c r="Z191" s="1995"/>
      <c r="AA191" s="1995"/>
      <c r="AB191" s="1995"/>
      <c r="AC191" s="1995"/>
      <c r="AD191" s="1995"/>
      <c r="AE191" s="1996"/>
      <c r="AF191" s="1189"/>
      <c r="AG191" s="1189"/>
      <c r="AH191" s="2026" t="s">
        <v>2319</v>
      </c>
      <c r="AI191" s="2027"/>
      <c r="AJ191" s="2027"/>
      <c r="AK191" s="2027"/>
      <c r="AL191" s="2027"/>
      <c r="AM191" s="2027"/>
      <c r="AN191" s="2027"/>
      <c r="AO191" s="2027"/>
      <c r="AP191" s="2027"/>
      <c r="AQ191" s="2027"/>
      <c r="AR191" s="2027"/>
      <c r="AS191" s="2027"/>
      <c r="AT191" s="2027"/>
      <c r="AU191" s="2028"/>
      <c r="AV191" s="2028"/>
      <c r="AW191" s="2028"/>
      <c r="AX191" s="2028"/>
      <c r="AY191" s="2028"/>
      <c r="AZ191" s="2028"/>
      <c r="BA191" s="2028"/>
      <c r="BB191" s="2028"/>
      <c r="BC191" s="2016"/>
      <c r="BD191" s="2017"/>
      <c r="BE191" s="2018"/>
    </row>
    <row r="192" spans="1:57" ht="15.75" customHeight="1">
      <c r="A192" s="1189"/>
      <c r="B192" s="1189"/>
      <c r="C192" s="2000" t="s">
        <v>300</v>
      </c>
      <c r="D192" s="2001"/>
      <c r="E192" s="1993" t="s">
        <v>2317</v>
      </c>
      <c r="F192" s="1993"/>
      <c r="G192" s="1993"/>
      <c r="H192" s="1993"/>
      <c r="I192" s="1993"/>
      <c r="J192" s="1993"/>
      <c r="K192" s="1993"/>
      <c r="L192" s="1993"/>
      <c r="M192" s="1993"/>
      <c r="N192" s="1994">
        <v>0</v>
      </c>
      <c r="O192" s="1994"/>
      <c r="P192" s="1994"/>
      <c r="Q192" s="1994"/>
      <c r="R192" s="1994"/>
      <c r="S192" s="1994"/>
      <c r="T192" s="1994"/>
      <c r="U192" s="1995"/>
      <c r="V192" s="1995"/>
      <c r="W192" s="1995"/>
      <c r="X192" s="1995"/>
      <c r="Y192" s="1995"/>
      <c r="Z192" s="1995"/>
      <c r="AA192" s="1995"/>
      <c r="AB192" s="1995"/>
      <c r="AC192" s="1995"/>
      <c r="AD192" s="1995"/>
      <c r="AE192" s="1996"/>
      <c r="AF192" s="1189"/>
      <c r="AG192" s="1189"/>
      <c r="AH192" s="2002" t="s">
        <v>2318</v>
      </c>
      <c r="AI192" s="2003"/>
      <c r="AJ192" s="2003"/>
      <c r="AK192" s="2003"/>
      <c r="AL192" s="2003"/>
      <c r="AM192" s="2003"/>
      <c r="AN192" s="2003"/>
      <c r="AO192" s="2003"/>
      <c r="AP192" s="2003"/>
      <c r="AQ192" s="2003"/>
      <c r="AR192" s="2003"/>
      <c r="AS192" s="2003"/>
      <c r="AT192" s="2003"/>
      <c r="AU192" s="2004">
        <f>SUM(AU190:BB191)</f>
        <v>0</v>
      </c>
      <c r="AV192" s="2004"/>
      <c r="AW192" s="2004"/>
      <c r="AX192" s="2004"/>
      <c r="AY192" s="2004"/>
      <c r="AZ192" s="2004"/>
      <c r="BA192" s="2004"/>
      <c r="BB192" s="2004"/>
      <c r="BC192" s="2016"/>
      <c r="BD192" s="2017"/>
      <c r="BE192" s="2018"/>
    </row>
    <row r="193" spans="1:57" ht="15.75" customHeight="1" thickBot="1">
      <c r="A193" s="1189"/>
      <c r="B193" s="1189"/>
      <c r="C193" s="1991" t="s">
        <v>300</v>
      </c>
      <c r="D193" s="1992"/>
      <c r="E193" s="1993" t="s">
        <v>2317</v>
      </c>
      <c r="F193" s="1993"/>
      <c r="G193" s="1993"/>
      <c r="H193" s="1993"/>
      <c r="I193" s="1993"/>
      <c r="J193" s="1993"/>
      <c r="K193" s="1993"/>
      <c r="L193" s="1993"/>
      <c r="M193" s="1993"/>
      <c r="N193" s="1994">
        <v>0</v>
      </c>
      <c r="O193" s="1994"/>
      <c r="P193" s="1994"/>
      <c r="Q193" s="1994"/>
      <c r="R193" s="1994"/>
      <c r="S193" s="1994"/>
      <c r="T193" s="1994"/>
      <c r="U193" s="1995"/>
      <c r="V193" s="1995"/>
      <c r="W193" s="1995"/>
      <c r="X193" s="1995"/>
      <c r="Y193" s="1995"/>
      <c r="Z193" s="1995"/>
      <c r="AA193" s="1995"/>
      <c r="AB193" s="1995"/>
      <c r="AC193" s="1995"/>
      <c r="AD193" s="1995"/>
      <c r="AE193" s="1996"/>
      <c r="AF193" s="1189"/>
      <c r="AG193" s="1189"/>
      <c r="AH193" s="1229"/>
      <c r="AI193" s="1230"/>
      <c r="AJ193" s="1230"/>
      <c r="AK193" s="1230"/>
      <c r="AL193" s="1230"/>
      <c r="AM193" s="1230"/>
      <c r="AN193" s="1230"/>
      <c r="AO193" s="1230"/>
      <c r="AP193" s="1230"/>
      <c r="AQ193" s="1230"/>
      <c r="AR193" s="1230"/>
      <c r="AS193" s="1230"/>
      <c r="AT193" s="1230"/>
      <c r="AU193" s="1230"/>
      <c r="AV193" s="1230"/>
      <c r="AW193" s="1230"/>
      <c r="AX193" s="1230"/>
      <c r="AY193" s="1230"/>
      <c r="AZ193" s="1230"/>
      <c r="BA193" s="1230"/>
      <c r="BB193" s="1230"/>
      <c r="BC193" s="1997"/>
      <c r="BD193" s="1998"/>
      <c r="BE193" s="1999"/>
    </row>
    <row r="194" spans="1:57" ht="15.75" customHeight="1" thickBot="1">
      <c r="A194" s="1189"/>
      <c r="B194" s="1189"/>
      <c r="C194" s="1979" t="s">
        <v>300</v>
      </c>
      <c r="D194" s="1980"/>
      <c r="E194" s="1981" t="s">
        <v>2317</v>
      </c>
      <c r="F194" s="1981"/>
      <c r="G194" s="1981"/>
      <c r="H194" s="1981"/>
      <c r="I194" s="1981"/>
      <c r="J194" s="1981"/>
      <c r="K194" s="1981"/>
      <c r="L194" s="1981"/>
      <c r="M194" s="1982"/>
      <c r="N194" s="1983">
        <v>0</v>
      </c>
      <c r="O194" s="1983"/>
      <c r="P194" s="1983"/>
      <c r="Q194" s="1983"/>
      <c r="R194" s="1983"/>
      <c r="S194" s="1983"/>
      <c r="T194" s="1984"/>
      <c r="U194" s="1985"/>
      <c r="V194" s="1986"/>
      <c r="W194" s="1986"/>
      <c r="X194" s="1986"/>
      <c r="Y194" s="1986"/>
      <c r="Z194" s="1986"/>
      <c r="AA194" s="1986"/>
      <c r="AB194" s="1986"/>
      <c r="AC194" s="1986"/>
      <c r="AD194" s="1986"/>
      <c r="AE194" s="1987"/>
      <c r="AF194" s="1189"/>
      <c r="AG194" s="1189"/>
      <c r="AH194" s="1988" t="s">
        <v>2316</v>
      </c>
      <c r="AI194" s="1989"/>
      <c r="AJ194" s="1989"/>
      <c r="AK194" s="1989"/>
      <c r="AL194" s="1989"/>
      <c r="AM194" s="1989"/>
      <c r="AN194" s="1989"/>
      <c r="AO194" s="1989"/>
      <c r="AP194" s="1989"/>
      <c r="AQ194" s="1989"/>
      <c r="AR194" s="1989"/>
      <c r="AS194" s="1989"/>
      <c r="AT194" s="1989"/>
      <c r="AU194" s="1990"/>
      <c r="AV194" s="1990"/>
      <c r="AW194" s="1990"/>
      <c r="AX194" s="1990"/>
      <c r="AY194" s="1990"/>
      <c r="AZ194" s="1990"/>
      <c r="BA194" s="1990"/>
      <c r="BB194" s="1990"/>
      <c r="BC194" s="1170"/>
      <c r="BD194" s="1170"/>
      <c r="BE194" s="1231"/>
    </row>
    <row r="195" spans="1:57" ht="15.75" customHeight="1">
      <c r="A195" s="1189"/>
      <c r="B195" s="1189"/>
      <c r="C195" s="1962" t="s">
        <v>2315</v>
      </c>
      <c r="D195" s="1963"/>
      <c r="E195" s="1963"/>
      <c r="F195" s="1963"/>
      <c r="G195" s="1963"/>
      <c r="H195" s="1963"/>
      <c r="I195" s="1963"/>
      <c r="J195" s="1963"/>
      <c r="K195" s="1963"/>
      <c r="L195" s="1963"/>
      <c r="M195" s="1963"/>
      <c r="N195" s="1964">
        <f>SUM(N187:T194)</f>
        <v>1997820</v>
      </c>
      <c r="O195" s="1964"/>
      <c r="P195" s="1964"/>
      <c r="Q195" s="1964"/>
      <c r="R195" s="1964"/>
      <c r="S195" s="1964"/>
      <c r="T195" s="1965"/>
      <c r="U195" s="1189"/>
      <c r="V195" s="1189"/>
      <c r="W195" s="1189"/>
      <c r="X195" s="1189"/>
      <c r="Y195" s="1189"/>
      <c r="Z195" s="1189"/>
      <c r="AA195" s="1189"/>
      <c r="AB195" s="1189"/>
      <c r="AC195" s="1189"/>
      <c r="AD195" s="1189"/>
      <c r="AE195" s="1189"/>
      <c r="AF195" s="1189"/>
      <c r="AG195" s="1189"/>
      <c r="AH195" s="1966" t="s">
        <v>2314</v>
      </c>
      <c r="AI195" s="1967"/>
      <c r="AJ195" s="1967"/>
      <c r="AK195" s="1967"/>
      <c r="AL195" s="1967"/>
      <c r="AM195" s="1967"/>
      <c r="AN195" s="1967"/>
      <c r="AO195" s="1967"/>
      <c r="AP195" s="1967"/>
      <c r="AQ195" s="1967"/>
      <c r="AR195" s="1967"/>
      <c r="AS195" s="1967"/>
      <c r="AT195" s="1967"/>
      <c r="AU195" s="1967"/>
      <c r="AV195" s="1967"/>
      <c r="AW195" s="1967"/>
      <c r="AX195" s="1967"/>
      <c r="AY195" s="1967"/>
      <c r="AZ195" s="1967"/>
      <c r="BA195" s="1967"/>
      <c r="BB195" s="1967"/>
      <c r="BC195" s="1967"/>
      <c r="BD195" s="1967"/>
      <c r="BE195" s="1968"/>
    </row>
    <row r="196" spans="1:57" ht="15.75" customHeight="1" thickBot="1">
      <c r="A196" s="1189"/>
      <c r="B196" s="1189"/>
      <c r="C196" s="1972" t="s">
        <v>2313</v>
      </c>
      <c r="D196" s="1973"/>
      <c r="E196" s="1973"/>
      <c r="F196" s="1973"/>
      <c r="G196" s="1973"/>
      <c r="H196" s="1973"/>
      <c r="I196" s="1973"/>
      <c r="J196" s="1973"/>
      <c r="K196" s="1973"/>
      <c r="L196" s="1973"/>
      <c r="M196" s="1973"/>
      <c r="N196" s="1974">
        <f>(N185-N195)/J29</f>
        <v>310738.86329113925</v>
      </c>
      <c r="O196" s="1975"/>
      <c r="P196" s="1975"/>
      <c r="Q196" s="1975"/>
      <c r="R196" s="1975"/>
      <c r="S196" s="1975"/>
      <c r="T196" s="1976"/>
      <c r="U196" s="1194"/>
      <c r="V196" s="1189"/>
      <c r="W196" s="1189"/>
      <c r="X196" s="1189"/>
      <c r="Y196" s="1189"/>
      <c r="Z196" s="1189"/>
      <c r="AA196" s="1189"/>
      <c r="AB196" s="1189"/>
      <c r="AC196" s="1189"/>
      <c r="AD196" s="1189"/>
      <c r="AE196" s="1189"/>
      <c r="AF196" s="1189"/>
      <c r="AG196" s="1189"/>
      <c r="AH196" s="1969"/>
      <c r="AI196" s="1970"/>
      <c r="AJ196" s="1970"/>
      <c r="AK196" s="1970"/>
      <c r="AL196" s="1970"/>
      <c r="AM196" s="1970"/>
      <c r="AN196" s="1970"/>
      <c r="AO196" s="1970"/>
      <c r="AP196" s="1970"/>
      <c r="AQ196" s="1970"/>
      <c r="AR196" s="1970"/>
      <c r="AS196" s="1970"/>
      <c r="AT196" s="1970"/>
      <c r="AU196" s="1970"/>
      <c r="AV196" s="1970"/>
      <c r="AW196" s="1970"/>
      <c r="AX196" s="1970"/>
      <c r="AY196" s="1970"/>
      <c r="AZ196" s="1970"/>
      <c r="BA196" s="1970"/>
      <c r="BB196" s="1970"/>
      <c r="BC196" s="1970"/>
      <c r="BD196" s="1970"/>
      <c r="BE196" s="1971"/>
    </row>
    <row r="197" spans="1:57" ht="15.75" customHeight="1">
      <c r="A197" s="1189"/>
      <c r="B197" s="1189"/>
      <c r="C197" s="1189"/>
      <c r="D197" s="1189"/>
      <c r="E197" s="1189"/>
      <c r="F197" s="1189"/>
      <c r="G197" s="1189"/>
      <c r="H197" s="1189"/>
      <c r="I197" s="1189"/>
      <c r="J197" s="1189"/>
      <c r="K197" s="1189"/>
      <c r="L197" s="1189"/>
      <c r="M197" s="1189"/>
      <c r="N197" s="1189"/>
      <c r="O197" s="1189"/>
      <c r="P197" s="1189"/>
      <c r="Q197" s="1189"/>
      <c r="R197" s="1189"/>
      <c r="S197" s="1189"/>
      <c r="T197" s="1189"/>
      <c r="U197" s="1189"/>
      <c r="V197" s="1189"/>
      <c r="W197" s="1189"/>
      <c r="X197" s="1189"/>
      <c r="Y197" s="1189"/>
      <c r="Z197" s="1189"/>
      <c r="AA197" s="1189"/>
      <c r="AB197" s="1189"/>
      <c r="AC197" s="1189"/>
      <c r="AD197" s="1189"/>
      <c r="AE197" s="1189"/>
      <c r="AF197" s="1189"/>
      <c r="AG197" s="1189"/>
      <c r="AH197" s="1977"/>
      <c r="AI197" s="1977"/>
      <c r="AJ197" s="1977"/>
      <c r="AK197" s="1977"/>
      <c r="AL197" s="1977"/>
      <c r="AM197" s="1977"/>
      <c r="AN197" s="1977"/>
      <c r="AO197" s="1977"/>
      <c r="AP197" s="1977"/>
      <c r="AQ197" s="1977"/>
      <c r="AR197" s="1977"/>
      <c r="AS197" s="1978"/>
      <c r="AT197" s="1978"/>
      <c r="AU197" s="1978"/>
      <c r="AV197" s="1978"/>
      <c r="AW197" s="1978"/>
      <c r="AX197" s="1978"/>
      <c r="AY197" s="1978"/>
      <c r="AZ197" s="1978"/>
      <c r="BA197" s="1978"/>
      <c r="BB197" s="1978"/>
      <c r="BC197" s="1978"/>
      <c r="BD197" s="1978"/>
      <c r="BE197" s="1193"/>
    </row>
    <row r="198" spans="1:57" ht="15.75" customHeight="1" thickBot="1">
      <c r="A198" s="1189"/>
      <c r="B198" s="1189"/>
      <c r="C198" s="1189"/>
      <c r="D198" s="1189"/>
      <c r="E198" s="1189"/>
      <c r="F198" s="1189"/>
      <c r="G198" s="1189"/>
      <c r="H198" s="1189"/>
      <c r="I198" s="1189"/>
      <c r="J198" s="1189"/>
      <c r="K198" s="1189"/>
      <c r="L198" s="1189"/>
      <c r="M198" s="1189"/>
      <c r="N198" s="1189"/>
      <c r="O198" s="1189"/>
      <c r="P198" s="1189"/>
      <c r="Q198" s="1189"/>
      <c r="R198" s="1189"/>
      <c r="S198" s="1189"/>
      <c r="T198" s="1189"/>
      <c r="U198" s="1189"/>
      <c r="V198" s="1189"/>
      <c r="W198" s="1189"/>
      <c r="X198" s="1189"/>
      <c r="Y198" s="1189"/>
      <c r="Z198" s="1189"/>
      <c r="AA198" s="1189"/>
      <c r="AB198" s="1189"/>
      <c r="AC198" s="1189"/>
      <c r="AD198" s="1189"/>
      <c r="AE198" s="1189"/>
      <c r="AF198" s="1189"/>
      <c r="AG198" s="1189"/>
      <c r="AH198" s="1189"/>
      <c r="AI198" s="1189"/>
      <c r="AJ198" s="1189"/>
      <c r="AK198" s="1189"/>
      <c r="AL198" s="1189"/>
      <c r="AM198" s="1189"/>
      <c r="AN198" s="1189"/>
      <c r="AO198" s="1189"/>
      <c r="AP198" s="1189"/>
      <c r="AQ198" s="1189"/>
      <c r="AR198" s="1189"/>
      <c r="AS198" s="1189"/>
      <c r="AT198" s="1189"/>
      <c r="AU198" s="1189"/>
      <c r="AV198" s="1189"/>
      <c r="AW198" s="1189"/>
      <c r="AX198" s="1189"/>
      <c r="AY198" s="1189"/>
      <c r="AZ198" s="1189"/>
      <c r="BA198" s="1189"/>
      <c r="BB198" s="1189"/>
      <c r="BC198" s="1189"/>
      <c r="BD198" s="1189"/>
      <c r="BE198" s="1193"/>
    </row>
    <row r="199" spans="1:57" ht="15.75" customHeight="1" thickBot="1">
      <c r="A199" s="1189"/>
      <c r="B199" s="1189"/>
      <c r="C199" s="1957" t="s">
        <v>2312</v>
      </c>
      <c r="D199" s="1958"/>
      <c r="E199" s="1958"/>
      <c r="F199" s="1958"/>
      <c r="G199" s="1958"/>
      <c r="H199" s="1958"/>
      <c r="I199" s="1958"/>
      <c r="J199" s="1958"/>
      <c r="K199" s="1958"/>
      <c r="L199" s="1958"/>
      <c r="M199" s="1958"/>
      <c r="N199" s="1958"/>
      <c r="O199" s="1958"/>
      <c r="P199" s="1958"/>
      <c r="Q199" s="1958"/>
      <c r="R199" s="1958"/>
      <c r="S199" s="1958"/>
      <c r="T199" s="1958"/>
      <c r="U199" s="1958"/>
      <c r="V199" s="1958"/>
      <c r="W199" s="1958"/>
      <c r="X199" s="1958"/>
      <c r="Y199" s="1958"/>
      <c r="Z199" s="1958"/>
      <c r="AA199" s="1958"/>
      <c r="AB199" s="1958"/>
      <c r="AC199" s="1958"/>
      <c r="AD199" s="1958"/>
      <c r="AE199" s="1959"/>
      <c r="AF199" s="1189"/>
      <c r="AG199" s="1189"/>
      <c r="AH199" s="1189"/>
      <c r="AI199" s="1189"/>
      <c r="AJ199" s="1189"/>
      <c r="AK199" s="1189"/>
      <c r="AL199" s="1189"/>
      <c r="AM199" s="1189"/>
      <c r="AN199" s="1189"/>
      <c r="AO199" s="1189"/>
      <c r="AP199" s="1189"/>
      <c r="AQ199" s="1189"/>
      <c r="AR199" s="1189"/>
      <c r="AS199" s="1189"/>
      <c r="AT199" s="1189"/>
      <c r="AU199" s="1189"/>
      <c r="AV199" s="1189"/>
      <c r="AW199" s="1189"/>
      <c r="AX199" s="1189"/>
      <c r="AY199" s="1189"/>
      <c r="AZ199" s="1189"/>
      <c r="BA199" s="1189"/>
      <c r="BB199" s="1189"/>
      <c r="BC199" s="1189"/>
      <c r="BD199" s="1189"/>
      <c r="BE199" s="1193"/>
    </row>
    <row r="200" spans="1:57" ht="15.75" customHeight="1">
      <c r="A200" s="1189"/>
      <c r="B200" s="1189"/>
      <c r="C200" s="1960" t="s">
        <v>2311</v>
      </c>
      <c r="D200" s="1960"/>
      <c r="E200" s="1960"/>
      <c r="F200" s="1960"/>
      <c r="G200" s="1960"/>
      <c r="H200" s="1960"/>
      <c r="I200" s="1960"/>
      <c r="J200" s="1960"/>
      <c r="K200" s="1960"/>
      <c r="L200" s="1960"/>
      <c r="M200" s="1960"/>
      <c r="N200" s="1960"/>
      <c r="O200" s="1961" t="s">
        <v>2310</v>
      </c>
      <c r="P200" s="1961"/>
      <c r="Q200" s="1961"/>
      <c r="R200" s="1961"/>
      <c r="S200" s="1961"/>
      <c r="T200" s="1961"/>
      <c r="U200" s="1961"/>
      <c r="V200" s="1961"/>
      <c r="W200" s="1961"/>
      <c r="X200" s="1961" t="s">
        <v>2309</v>
      </c>
      <c r="Y200" s="1961"/>
      <c r="Z200" s="1961"/>
      <c r="AA200" s="1961"/>
      <c r="AB200" s="1961"/>
      <c r="AC200" s="1961"/>
      <c r="AD200" s="1961"/>
      <c r="AE200" s="1961"/>
      <c r="AF200" s="1189"/>
      <c r="AG200" s="1189"/>
      <c r="AH200" s="1189"/>
      <c r="AI200" s="1189"/>
      <c r="AJ200" s="1189"/>
      <c r="AK200" s="1189"/>
      <c r="AL200" s="1189"/>
      <c r="AM200" s="1189"/>
      <c r="AN200" s="1189"/>
      <c r="AO200" s="1189"/>
      <c r="AP200" s="1189"/>
      <c r="AQ200" s="1189"/>
      <c r="AR200" s="1189"/>
      <c r="AS200" s="1189"/>
      <c r="AT200" s="1189"/>
      <c r="AU200" s="1189"/>
      <c r="AV200" s="1189"/>
      <c r="AW200" s="1189"/>
      <c r="AX200" s="1189"/>
      <c r="AY200" s="1189"/>
      <c r="AZ200" s="1189"/>
      <c r="BA200" s="1189"/>
      <c r="BB200" s="1189"/>
      <c r="BC200" s="1189"/>
      <c r="BD200" s="1189"/>
      <c r="BE200" s="1193"/>
    </row>
    <row r="201" spans="1:57" ht="15.75" customHeight="1">
      <c r="A201" s="1189"/>
      <c r="B201" s="1189"/>
      <c r="C201" s="1952" t="s">
        <v>2308</v>
      </c>
      <c r="D201" s="1952"/>
      <c r="E201" s="1952"/>
      <c r="F201" s="1952"/>
      <c r="G201" s="1952"/>
      <c r="H201" s="1952"/>
      <c r="I201" s="1952"/>
      <c r="J201" s="1952"/>
      <c r="K201" s="1952"/>
      <c r="L201" s="1952"/>
      <c r="M201" s="1952"/>
      <c r="N201" s="1952"/>
      <c r="O201" s="1953" t="s">
        <v>2307</v>
      </c>
      <c r="P201" s="1953"/>
      <c r="Q201" s="1953"/>
      <c r="R201" s="1953"/>
      <c r="S201" s="1953"/>
      <c r="T201" s="1953"/>
      <c r="U201" s="1953"/>
      <c r="V201" s="1953"/>
      <c r="W201" s="1953"/>
      <c r="X201" s="1954">
        <v>0.03</v>
      </c>
      <c r="Y201" s="1954"/>
      <c r="Z201" s="1954"/>
      <c r="AA201" s="1954"/>
      <c r="AB201" s="1954"/>
      <c r="AC201" s="1954"/>
      <c r="AD201" s="1954"/>
      <c r="AE201" s="1954"/>
      <c r="AF201" s="1189"/>
      <c r="AG201" s="1189"/>
      <c r="AH201" s="1189"/>
      <c r="AI201" s="1189"/>
      <c r="AJ201" s="1189"/>
      <c r="AK201" s="1189"/>
      <c r="AL201" s="1189"/>
      <c r="AM201" s="1189"/>
      <c r="AN201" s="1189"/>
      <c r="AO201" s="1189"/>
      <c r="AP201" s="1189"/>
      <c r="AQ201" s="1189"/>
      <c r="AR201" s="1189"/>
      <c r="AS201" s="1189"/>
      <c r="AT201" s="1189"/>
      <c r="AU201" s="1189"/>
      <c r="AV201" s="1189"/>
      <c r="AW201" s="1189"/>
      <c r="AX201" s="1189"/>
      <c r="AY201" s="1189"/>
      <c r="AZ201" s="1189"/>
      <c r="BA201" s="1189"/>
      <c r="BB201" s="1189"/>
      <c r="BC201" s="1189"/>
      <c r="BD201" s="1189"/>
      <c r="BE201" s="1193"/>
    </row>
    <row r="202" spans="1:57" ht="15.75" customHeight="1">
      <c r="A202" s="1189"/>
      <c r="B202" s="1189"/>
      <c r="C202" s="1952" t="s">
        <v>854</v>
      </c>
      <c r="D202" s="1952"/>
      <c r="E202" s="1952"/>
      <c r="F202" s="1952"/>
      <c r="G202" s="1952"/>
      <c r="H202" s="1952"/>
      <c r="I202" s="1952"/>
      <c r="J202" s="1952"/>
      <c r="K202" s="1952"/>
      <c r="L202" s="1952"/>
      <c r="M202" s="1952"/>
      <c r="N202" s="1952"/>
      <c r="O202" s="1953" t="s">
        <v>2307</v>
      </c>
      <c r="P202" s="1953"/>
      <c r="Q202" s="1953"/>
      <c r="R202" s="1953"/>
      <c r="S202" s="1953"/>
      <c r="T202" s="1953"/>
      <c r="U202" s="1953"/>
      <c r="V202" s="1953"/>
      <c r="W202" s="1953"/>
      <c r="X202" s="1954">
        <v>0.03</v>
      </c>
      <c r="Y202" s="1954"/>
      <c r="Z202" s="1954"/>
      <c r="AA202" s="1954"/>
      <c r="AB202" s="1954"/>
      <c r="AC202" s="1954"/>
      <c r="AD202" s="1954"/>
      <c r="AE202" s="1954"/>
      <c r="AF202" s="1189"/>
      <c r="AG202" s="1189"/>
      <c r="AH202" s="1189"/>
      <c r="AI202" s="1189"/>
      <c r="AJ202" s="1189"/>
      <c r="AK202" s="1189"/>
      <c r="AL202" s="1189"/>
      <c r="AM202" s="1189"/>
      <c r="AN202" s="1189"/>
      <c r="AO202" s="1189"/>
      <c r="AP202" s="1189"/>
      <c r="AQ202" s="1189"/>
      <c r="AR202" s="1189"/>
      <c r="AS202" s="1189"/>
      <c r="AT202" s="1189"/>
      <c r="AU202" s="1189"/>
      <c r="AV202" s="1189"/>
      <c r="AW202" s="1189"/>
      <c r="AX202" s="1189"/>
      <c r="AY202" s="1189"/>
      <c r="AZ202" s="1189"/>
      <c r="BA202" s="1189"/>
      <c r="BB202" s="1189"/>
      <c r="BC202" s="1189"/>
      <c r="BD202" s="1189"/>
      <c r="BE202" s="1193"/>
    </row>
    <row r="203" spans="1:57" ht="15.75" customHeight="1">
      <c r="A203" s="1189"/>
      <c r="B203" s="1189"/>
      <c r="C203" s="1952" t="s">
        <v>2306</v>
      </c>
      <c r="D203" s="1952"/>
      <c r="E203" s="1952"/>
      <c r="F203" s="1952"/>
      <c r="G203" s="1952"/>
      <c r="H203" s="1952"/>
      <c r="I203" s="1952"/>
      <c r="J203" s="1952"/>
      <c r="K203" s="1952"/>
      <c r="L203" s="1952"/>
      <c r="M203" s="1952"/>
      <c r="N203" s="1952"/>
      <c r="O203" s="1955">
        <f>SUM(O201:W202)</f>
        <v>0</v>
      </c>
      <c r="P203" s="1956"/>
      <c r="Q203" s="1956"/>
      <c r="R203" s="1956"/>
      <c r="S203" s="1956"/>
      <c r="T203" s="1956"/>
      <c r="U203" s="1956"/>
      <c r="V203" s="1956"/>
      <c r="W203" s="1956"/>
      <c r="X203" s="1956" t="s">
        <v>2305</v>
      </c>
      <c r="Y203" s="1956"/>
      <c r="Z203" s="1956"/>
      <c r="AA203" s="1956"/>
      <c r="AB203" s="1956"/>
      <c r="AC203" s="1956"/>
      <c r="AD203" s="1956"/>
      <c r="AE203" s="1956"/>
      <c r="AF203" s="1189"/>
      <c r="AG203" s="1189"/>
      <c r="AH203" s="1189"/>
      <c r="AI203" s="1189"/>
      <c r="AJ203" s="1189"/>
      <c r="AK203" s="1189"/>
      <c r="AL203" s="1189"/>
      <c r="AM203" s="1189"/>
      <c r="AN203" s="1189"/>
      <c r="AO203" s="1189"/>
      <c r="AP203" s="1189"/>
      <c r="AQ203" s="1189"/>
      <c r="AR203" s="1189"/>
      <c r="AS203" s="1189"/>
      <c r="AT203" s="1189"/>
      <c r="AU203" s="1189"/>
      <c r="AV203" s="1189"/>
      <c r="AW203" s="1189"/>
      <c r="AX203" s="1189"/>
      <c r="AY203" s="1189"/>
      <c r="AZ203" s="1189"/>
      <c r="BA203" s="1189"/>
      <c r="BB203" s="1189"/>
      <c r="BC203" s="1189"/>
      <c r="BD203" s="1189"/>
      <c r="BE203" s="1193"/>
    </row>
    <row r="204" spans="1:57" ht="15.75" customHeight="1">
      <c r="A204" s="1189"/>
      <c r="B204" s="1189"/>
      <c r="C204" s="1926" t="s">
        <v>2304</v>
      </c>
      <c r="D204" s="1926"/>
      <c r="E204" s="1926"/>
      <c r="F204" s="1926"/>
      <c r="G204" s="1926"/>
      <c r="H204" s="1926"/>
      <c r="I204" s="1926"/>
      <c r="J204" s="1926"/>
      <c r="K204" s="1926"/>
      <c r="L204" s="1926"/>
      <c r="M204" s="1926"/>
      <c r="N204" s="1926"/>
      <c r="O204" s="1926"/>
      <c r="P204" s="1926"/>
      <c r="Q204" s="1926"/>
      <c r="R204" s="1926"/>
      <c r="S204" s="1926"/>
      <c r="T204" s="1926"/>
      <c r="U204" s="1926"/>
      <c r="V204" s="1926"/>
      <c r="W204" s="1926"/>
      <c r="X204" s="1926"/>
      <c r="Y204" s="1926"/>
      <c r="Z204" s="1926"/>
      <c r="AA204" s="1926"/>
      <c r="AB204" s="1926"/>
      <c r="AC204" s="1926"/>
      <c r="AD204" s="1926"/>
      <c r="AE204" s="1926"/>
      <c r="AF204" s="1189"/>
      <c r="AG204" s="1189"/>
      <c r="AH204" s="1189"/>
      <c r="AI204" s="1189"/>
      <c r="AJ204" s="1189"/>
      <c r="AK204" s="1189"/>
      <c r="AL204" s="1189"/>
      <c r="AM204" s="1189"/>
      <c r="AN204" s="1189"/>
      <c r="AO204" s="1189"/>
      <c r="AP204" s="1189"/>
      <c r="AQ204" s="1189"/>
      <c r="AR204" s="1189"/>
      <c r="AS204" s="1189"/>
      <c r="AT204" s="1189"/>
      <c r="AU204" s="1189"/>
      <c r="AV204" s="1189"/>
      <c r="AW204" s="1189"/>
      <c r="AX204" s="1189"/>
      <c r="AY204" s="1189"/>
      <c r="AZ204" s="1189"/>
      <c r="BA204" s="1189"/>
      <c r="BB204" s="1189"/>
      <c r="BC204" s="1189"/>
      <c r="BD204" s="1189"/>
      <c r="BE204" s="1193"/>
    </row>
    <row r="205" spans="1:57" ht="15.75" customHeight="1" thickBot="1">
      <c r="A205" s="1189"/>
      <c r="B205" s="1189"/>
      <c r="C205" s="1189"/>
      <c r="D205" s="1189"/>
      <c r="E205" s="1189"/>
      <c r="F205" s="1189"/>
      <c r="G205" s="1189"/>
      <c r="H205" s="1189"/>
      <c r="I205" s="1189"/>
      <c r="J205" s="1189"/>
      <c r="K205" s="1189"/>
      <c r="L205" s="1189"/>
      <c r="M205" s="1189"/>
      <c r="N205" s="1189"/>
      <c r="O205" s="1189"/>
      <c r="P205" s="1189"/>
      <c r="Q205" s="1189"/>
      <c r="R205" s="1189"/>
      <c r="S205" s="1189"/>
      <c r="T205" s="1189"/>
      <c r="U205" s="1189"/>
      <c r="V205" s="1189"/>
      <c r="W205" s="1189"/>
      <c r="X205" s="1189"/>
      <c r="Y205" s="1189"/>
      <c r="Z205" s="1189"/>
      <c r="AA205" s="1189"/>
      <c r="AB205" s="1189"/>
      <c r="AC205" s="1189"/>
      <c r="AD205" s="1189"/>
      <c r="AE205" s="1189"/>
      <c r="AF205" s="1189"/>
      <c r="AG205" s="1189"/>
      <c r="AH205" s="1189"/>
      <c r="AI205" s="1189"/>
      <c r="AJ205" s="1189"/>
      <c r="AK205" s="1189"/>
      <c r="AL205" s="1189"/>
      <c r="AM205" s="1189"/>
      <c r="AN205" s="1189"/>
      <c r="AO205" s="1189"/>
      <c r="AP205" s="1189"/>
      <c r="AQ205" s="1189"/>
      <c r="AR205" s="1189"/>
      <c r="AS205" s="1189"/>
      <c r="AT205" s="1189"/>
      <c r="AU205" s="1189"/>
      <c r="AV205" s="1189"/>
      <c r="AW205" s="1189"/>
      <c r="AX205" s="1189"/>
      <c r="AY205" s="1189"/>
      <c r="AZ205" s="1189"/>
      <c r="BA205" s="1189"/>
      <c r="BB205" s="1189"/>
      <c r="BC205" s="1189"/>
      <c r="BD205" s="1189"/>
      <c r="BE205" s="1193"/>
    </row>
    <row r="206" spans="1:57" ht="15.75" customHeight="1" thickBot="1">
      <c r="A206" s="1189"/>
      <c r="B206" s="1189"/>
      <c r="C206" s="1927" t="s">
        <v>2303</v>
      </c>
      <c r="D206" s="1928"/>
      <c r="E206" s="1928"/>
      <c r="F206" s="1928"/>
      <c r="G206" s="1928"/>
      <c r="H206" s="1928"/>
      <c r="I206" s="1928"/>
      <c r="J206" s="1928"/>
      <c r="K206" s="1928"/>
      <c r="L206" s="1928"/>
      <c r="M206" s="1928"/>
      <c r="N206" s="1928"/>
      <c r="O206" s="1928"/>
      <c r="P206" s="1928"/>
      <c r="Q206" s="1928"/>
      <c r="R206" s="1928"/>
      <c r="S206" s="1928"/>
      <c r="T206" s="1928"/>
      <c r="U206" s="1928"/>
      <c r="V206" s="1928"/>
      <c r="W206" s="1928"/>
      <c r="X206" s="1928"/>
      <c r="Y206" s="1928"/>
      <c r="Z206" s="1928"/>
      <c r="AA206" s="1928"/>
      <c r="AB206" s="1928"/>
      <c r="AC206" s="1928"/>
      <c r="AD206" s="1928"/>
      <c r="AE206" s="1928"/>
      <c r="AF206" s="1928"/>
      <c r="AG206" s="1928"/>
      <c r="AH206" s="1928"/>
      <c r="AI206" s="1928"/>
      <c r="AJ206" s="1928"/>
      <c r="AK206" s="1929"/>
      <c r="AL206" s="1189"/>
      <c r="AM206" s="1189"/>
      <c r="AN206" s="1189"/>
      <c r="AO206" s="1189"/>
      <c r="AP206" s="1189"/>
      <c r="AQ206" s="1189"/>
      <c r="AR206" s="1189"/>
      <c r="AS206" s="1189"/>
      <c r="AT206" s="1189"/>
      <c r="AU206" s="1189"/>
      <c r="AV206" s="1189"/>
      <c r="AW206" s="1189"/>
      <c r="AX206" s="1189"/>
      <c r="AY206" s="1189"/>
      <c r="AZ206" s="1189"/>
      <c r="BA206" s="1189"/>
      <c r="BB206" s="1189"/>
      <c r="BC206" s="1189"/>
      <c r="BD206" s="1189"/>
      <c r="BE206" s="1193"/>
    </row>
    <row r="207" spans="1:57" ht="15.75" customHeight="1">
      <c r="A207" s="1189"/>
      <c r="B207" s="1189"/>
      <c r="C207" s="1930" t="s">
        <v>2302</v>
      </c>
      <c r="D207" s="1931"/>
      <c r="E207" s="1931"/>
      <c r="F207" s="1932"/>
      <c r="G207" s="1936" t="s">
        <v>2301</v>
      </c>
      <c r="H207" s="1931"/>
      <c r="I207" s="1931"/>
      <c r="J207" s="1931"/>
      <c r="K207" s="1931"/>
      <c r="L207" s="1931"/>
      <c r="M207" s="1931"/>
      <c r="N207" s="1931"/>
      <c r="O207" s="1932"/>
      <c r="P207" s="1938" t="s">
        <v>2300</v>
      </c>
      <c r="Q207" s="1939"/>
      <c r="R207" s="1939"/>
      <c r="S207" s="1939"/>
      <c r="T207" s="1940"/>
      <c r="U207" s="1944" t="s">
        <v>2299</v>
      </c>
      <c r="V207" s="1945"/>
      <c r="W207" s="1945"/>
      <c r="X207" s="1946"/>
      <c r="Y207" s="1944" t="s">
        <v>2298</v>
      </c>
      <c r="Z207" s="1945"/>
      <c r="AA207" s="1945"/>
      <c r="AB207" s="1946"/>
      <c r="AC207" s="1944" t="s">
        <v>2297</v>
      </c>
      <c r="AD207" s="1945"/>
      <c r="AE207" s="1945"/>
      <c r="AF207" s="1946"/>
      <c r="AG207" s="1936" t="s">
        <v>2296</v>
      </c>
      <c r="AH207" s="1931"/>
      <c r="AI207" s="1931"/>
      <c r="AJ207" s="1931"/>
      <c r="AK207" s="1950"/>
      <c r="AL207" s="1189"/>
      <c r="AM207" s="1189"/>
      <c r="AN207" s="1189"/>
      <c r="AO207" s="1189"/>
      <c r="AP207" s="1189"/>
      <c r="AQ207" s="1189"/>
      <c r="AR207" s="1189"/>
      <c r="AS207" s="1189"/>
      <c r="AT207" s="1189"/>
      <c r="AU207" s="1189"/>
      <c r="AV207" s="1189"/>
      <c r="AW207" s="1189"/>
      <c r="AX207" s="1189"/>
      <c r="AY207" s="1189"/>
      <c r="AZ207" s="1189"/>
      <c r="BA207" s="1189"/>
      <c r="BB207" s="1189"/>
      <c r="BC207" s="1189"/>
      <c r="BD207" s="1189"/>
      <c r="BE207" s="1193"/>
    </row>
    <row r="208" spans="1:57" ht="15.75" customHeight="1">
      <c r="A208" s="1189"/>
      <c r="B208" s="1189"/>
      <c r="C208" s="1933"/>
      <c r="D208" s="1934"/>
      <c r="E208" s="1934"/>
      <c r="F208" s="1935"/>
      <c r="G208" s="1937"/>
      <c r="H208" s="1934"/>
      <c r="I208" s="1934"/>
      <c r="J208" s="1934"/>
      <c r="K208" s="1934"/>
      <c r="L208" s="1934"/>
      <c r="M208" s="1934"/>
      <c r="N208" s="1934"/>
      <c r="O208" s="1935"/>
      <c r="P208" s="1941"/>
      <c r="Q208" s="1942"/>
      <c r="R208" s="1942"/>
      <c r="S208" s="1942"/>
      <c r="T208" s="1943"/>
      <c r="U208" s="1947"/>
      <c r="V208" s="1948"/>
      <c r="W208" s="1948"/>
      <c r="X208" s="1949"/>
      <c r="Y208" s="1947"/>
      <c r="Z208" s="1948"/>
      <c r="AA208" s="1948"/>
      <c r="AB208" s="1949"/>
      <c r="AC208" s="1947"/>
      <c r="AD208" s="1948"/>
      <c r="AE208" s="1948"/>
      <c r="AF208" s="1949"/>
      <c r="AG208" s="1937"/>
      <c r="AH208" s="1934"/>
      <c r="AI208" s="1934"/>
      <c r="AJ208" s="1934"/>
      <c r="AK208" s="1951"/>
      <c r="AL208" s="1189"/>
      <c r="AM208" s="1189"/>
      <c r="AN208" s="1189"/>
      <c r="AO208" s="1189"/>
      <c r="AP208" s="1189"/>
      <c r="AQ208" s="1189"/>
      <c r="AR208" s="1189"/>
      <c r="AS208" s="1189"/>
      <c r="AT208" s="1189"/>
      <c r="AU208" s="1189"/>
      <c r="AV208" s="1189"/>
      <c r="AW208" s="1189"/>
      <c r="AX208" s="1189"/>
      <c r="AY208" s="1189"/>
      <c r="AZ208" s="1189"/>
      <c r="BA208" s="1189"/>
      <c r="BB208" s="1189"/>
      <c r="BC208" s="1189"/>
      <c r="BD208" s="1189"/>
      <c r="BE208" s="1193"/>
    </row>
    <row r="209" spans="1:57" ht="15.75" customHeight="1">
      <c r="A209" s="1189"/>
      <c r="B209" s="1189"/>
      <c r="C209" s="1919">
        <v>1</v>
      </c>
      <c r="D209" s="1920"/>
      <c r="E209" s="1920"/>
      <c r="F209" s="1920"/>
      <c r="G209" s="1921" t="s">
        <v>1884</v>
      </c>
      <c r="H209" s="1921"/>
      <c r="I209" s="1921"/>
      <c r="J209" s="1921"/>
      <c r="K209" s="1921"/>
      <c r="L209" s="1921"/>
      <c r="M209" s="1921"/>
      <c r="N209" s="1921"/>
      <c r="O209" s="1921"/>
      <c r="P209" s="1922"/>
      <c r="Q209" s="1925"/>
      <c r="R209" s="1925"/>
      <c r="S209" s="1925"/>
      <c r="T209" s="1925"/>
      <c r="U209" s="1923" t="s">
        <v>1884</v>
      </c>
      <c r="V209" s="1923"/>
      <c r="W209" s="1923"/>
      <c r="X209" s="1923"/>
      <c r="Y209" s="1923" t="s">
        <v>1884</v>
      </c>
      <c r="Z209" s="1923"/>
      <c r="AA209" s="1923"/>
      <c r="AB209" s="1923"/>
      <c r="AC209" s="1924" t="s">
        <v>1884</v>
      </c>
      <c r="AD209" s="1924"/>
      <c r="AE209" s="1924"/>
      <c r="AF209" s="1924"/>
      <c r="AG209" s="1908"/>
      <c r="AH209" s="1909"/>
      <c r="AI209" s="1909"/>
      <c r="AJ209" s="1909"/>
      <c r="AK209" s="1910"/>
      <c r="AL209" s="1189"/>
      <c r="AM209" s="1189"/>
      <c r="AN209" s="1189"/>
      <c r="AO209" s="1189"/>
      <c r="AP209" s="1189"/>
      <c r="AQ209" s="1189"/>
      <c r="AR209" s="1189"/>
      <c r="AS209" s="1189"/>
      <c r="AT209" s="1189"/>
      <c r="AU209" s="1189"/>
      <c r="AV209" s="1189"/>
      <c r="AW209" s="1189"/>
      <c r="AX209" s="1189"/>
      <c r="AY209" s="1189"/>
      <c r="AZ209" s="1189"/>
      <c r="BA209" s="1189"/>
      <c r="BB209" s="1189"/>
      <c r="BC209" s="1189"/>
      <c r="BD209" s="1189"/>
      <c r="BE209" s="1193"/>
    </row>
    <row r="210" spans="1:57" ht="15.75" customHeight="1">
      <c r="A210" s="1189"/>
      <c r="B210" s="1189"/>
      <c r="C210" s="1919">
        <v>2</v>
      </c>
      <c r="D210" s="1920"/>
      <c r="E210" s="1920"/>
      <c r="F210" s="1920"/>
      <c r="G210" s="1921" t="s">
        <v>1884</v>
      </c>
      <c r="H210" s="1921"/>
      <c r="I210" s="1921"/>
      <c r="J210" s="1921"/>
      <c r="K210" s="1921"/>
      <c r="L210" s="1921"/>
      <c r="M210" s="1921"/>
      <c r="N210" s="1921"/>
      <c r="O210" s="1921"/>
      <c r="P210" s="1922"/>
      <c r="Q210" s="1922"/>
      <c r="R210" s="1922"/>
      <c r="S210" s="1922"/>
      <c r="T210" s="1922"/>
      <c r="U210" s="1923" t="s">
        <v>1884</v>
      </c>
      <c r="V210" s="1923"/>
      <c r="W210" s="1923"/>
      <c r="X210" s="1923"/>
      <c r="Y210" s="1923" t="s">
        <v>1884</v>
      </c>
      <c r="Z210" s="1923"/>
      <c r="AA210" s="1923"/>
      <c r="AB210" s="1923"/>
      <c r="AC210" s="1924" t="s">
        <v>1884</v>
      </c>
      <c r="AD210" s="1924"/>
      <c r="AE210" s="1924"/>
      <c r="AF210" s="1924"/>
      <c r="AG210" s="1908"/>
      <c r="AH210" s="1909"/>
      <c r="AI210" s="1909"/>
      <c r="AJ210" s="1909"/>
      <c r="AK210" s="1910"/>
      <c r="AL210" s="1189"/>
      <c r="AM210" s="1189"/>
      <c r="AN210" s="1189"/>
      <c r="AO210" s="1189"/>
      <c r="AP210" s="1189"/>
      <c r="AQ210" s="1189"/>
      <c r="AR210" s="1189"/>
      <c r="AS210" s="1189"/>
      <c r="AT210" s="1189"/>
      <c r="AU210" s="1189"/>
      <c r="AV210" s="1189"/>
      <c r="AW210" s="1189"/>
      <c r="AX210" s="1189"/>
      <c r="AY210" s="1189"/>
      <c r="AZ210" s="1189"/>
      <c r="BA210" s="1189"/>
      <c r="BB210" s="1189"/>
      <c r="BC210" s="1189"/>
      <c r="BD210" s="1189"/>
      <c r="BE210" s="1193"/>
    </row>
    <row r="211" spans="1:57" ht="15.75" customHeight="1">
      <c r="A211" s="1189"/>
      <c r="B211" s="1189"/>
      <c r="C211" s="1919">
        <v>3</v>
      </c>
      <c r="D211" s="1920"/>
      <c r="E211" s="1920"/>
      <c r="F211" s="1920"/>
      <c r="G211" s="1921" t="s">
        <v>1884</v>
      </c>
      <c r="H211" s="1921"/>
      <c r="I211" s="1921"/>
      <c r="J211" s="1921"/>
      <c r="K211" s="1921"/>
      <c r="L211" s="1921"/>
      <c r="M211" s="1921"/>
      <c r="N211" s="1921"/>
      <c r="O211" s="1921"/>
      <c r="P211" s="1922"/>
      <c r="Q211" s="1922"/>
      <c r="R211" s="1922"/>
      <c r="S211" s="1922"/>
      <c r="T211" s="1922"/>
      <c r="U211" s="1923" t="s">
        <v>1884</v>
      </c>
      <c r="V211" s="1923"/>
      <c r="W211" s="1923"/>
      <c r="X211" s="1923"/>
      <c r="Y211" s="1923" t="s">
        <v>1884</v>
      </c>
      <c r="Z211" s="1923"/>
      <c r="AA211" s="1923"/>
      <c r="AB211" s="1923"/>
      <c r="AC211" s="1924" t="s">
        <v>1884</v>
      </c>
      <c r="AD211" s="1924"/>
      <c r="AE211" s="1924"/>
      <c r="AF211" s="1924"/>
      <c r="AG211" s="1908"/>
      <c r="AH211" s="1909"/>
      <c r="AI211" s="1909"/>
      <c r="AJ211" s="1909"/>
      <c r="AK211" s="1910"/>
      <c r="AL211" s="1189"/>
      <c r="AM211" s="1189"/>
      <c r="AN211" s="1189"/>
      <c r="AO211" s="1189"/>
      <c r="AP211" s="1189"/>
      <c r="AQ211" s="1189"/>
      <c r="AR211" s="1189"/>
      <c r="AS211" s="1189"/>
      <c r="AT211" s="1189"/>
      <c r="AU211" s="1189"/>
      <c r="AV211" s="1189"/>
      <c r="AW211" s="1189"/>
      <c r="AX211" s="1189"/>
      <c r="AY211" s="1189"/>
      <c r="AZ211" s="1189"/>
      <c r="BA211" s="1189"/>
      <c r="BB211" s="1189"/>
      <c r="BC211" s="1189"/>
      <c r="BD211" s="1189"/>
      <c r="BE211" s="1193"/>
    </row>
    <row r="212" spans="1:57" ht="15.75" customHeight="1">
      <c r="A212" s="1189"/>
      <c r="B212" s="1189"/>
      <c r="C212" s="1919">
        <v>4</v>
      </c>
      <c r="D212" s="1920"/>
      <c r="E212" s="1920"/>
      <c r="F212" s="1920"/>
      <c r="G212" s="1921" t="s">
        <v>1884</v>
      </c>
      <c r="H212" s="1921"/>
      <c r="I212" s="1921"/>
      <c r="J212" s="1921"/>
      <c r="K212" s="1921"/>
      <c r="L212" s="1921"/>
      <c r="M212" s="1921"/>
      <c r="N212" s="1921"/>
      <c r="O212" s="1921"/>
      <c r="P212" s="1922"/>
      <c r="Q212" s="1922"/>
      <c r="R212" s="1922"/>
      <c r="S212" s="1922"/>
      <c r="T212" s="1922"/>
      <c r="U212" s="1923" t="s">
        <v>1884</v>
      </c>
      <c r="V212" s="1923"/>
      <c r="W212" s="1923"/>
      <c r="X212" s="1923"/>
      <c r="Y212" s="1923" t="s">
        <v>1884</v>
      </c>
      <c r="Z212" s="1923"/>
      <c r="AA212" s="1923"/>
      <c r="AB212" s="1923"/>
      <c r="AC212" s="1924" t="s">
        <v>1884</v>
      </c>
      <c r="AD212" s="1924"/>
      <c r="AE212" s="1924"/>
      <c r="AF212" s="1924"/>
      <c r="AG212" s="1908"/>
      <c r="AH212" s="1909"/>
      <c r="AI212" s="1909"/>
      <c r="AJ212" s="1909"/>
      <c r="AK212" s="1910"/>
      <c r="AL212" s="1189"/>
      <c r="AM212" s="1189"/>
      <c r="AN212" s="1189"/>
      <c r="AO212" s="1189"/>
      <c r="AP212" s="1189"/>
      <c r="AQ212" s="1189"/>
      <c r="AR212" s="1189"/>
      <c r="AS212" s="1189"/>
      <c r="AT212" s="1189"/>
      <c r="AU212" s="1189"/>
      <c r="AV212" s="1189"/>
      <c r="AW212" s="1189"/>
      <c r="AX212" s="1189"/>
      <c r="AY212" s="1189"/>
      <c r="AZ212" s="1189"/>
      <c r="BA212" s="1189"/>
      <c r="BB212" s="1189"/>
      <c r="BC212" s="1189"/>
      <c r="BD212" s="1189"/>
      <c r="BE212" s="1193"/>
    </row>
    <row r="213" spans="1:57" ht="15.75" customHeight="1">
      <c r="A213" s="1189"/>
      <c r="B213" s="1189"/>
      <c r="C213" s="1919">
        <v>5</v>
      </c>
      <c r="D213" s="1920"/>
      <c r="E213" s="1920"/>
      <c r="F213" s="1920"/>
      <c r="G213" s="1921" t="s">
        <v>1884</v>
      </c>
      <c r="H213" s="1921"/>
      <c r="I213" s="1921"/>
      <c r="J213" s="1921"/>
      <c r="K213" s="1921"/>
      <c r="L213" s="1921"/>
      <c r="M213" s="1921"/>
      <c r="N213" s="1921"/>
      <c r="O213" s="1921"/>
      <c r="P213" s="1922"/>
      <c r="Q213" s="1922"/>
      <c r="R213" s="1922"/>
      <c r="S213" s="1922"/>
      <c r="T213" s="1922"/>
      <c r="U213" s="1923" t="s">
        <v>1884</v>
      </c>
      <c r="V213" s="1923"/>
      <c r="W213" s="1923"/>
      <c r="X213" s="1923"/>
      <c r="Y213" s="1923" t="s">
        <v>1884</v>
      </c>
      <c r="Z213" s="1923"/>
      <c r="AA213" s="1923"/>
      <c r="AB213" s="1923"/>
      <c r="AC213" s="1924" t="s">
        <v>1884</v>
      </c>
      <c r="AD213" s="1924"/>
      <c r="AE213" s="1924"/>
      <c r="AF213" s="1924"/>
      <c r="AG213" s="1908"/>
      <c r="AH213" s="1909"/>
      <c r="AI213" s="1909"/>
      <c r="AJ213" s="1909"/>
      <c r="AK213" s="1910"/>
      <c r="AL213" s="1189"/>
      <c r="AM213" s="1189"/>
      <c r="AN213" s="1189"/>
      <c r="AO213" s="1189"/>
      <c r="AP213" s="1189"/>
      <c r="AQ213" s="1189"/>
      <c r="AR213" s="1189"/>
      <c r="AS213" s="1189"/>
      <c r="AT213" s="1189"/>
      <c r="AU213" s="1189"/>
      <c r="AV213" s="1189"/>
      <c r="AW213" s="1189"/>
      <c r="AX213" s="1189"/>
      <c r="AY213" s="1189"/>
      <c r="AZ213" s="1189"/>
      <c r="BA213" s="1189"/>
      <c r="BB213" s="1189"/>
      <c r="BC213" s="1189"/>
      <c r="BD213" s="1189"/>
      <c r="BE213" s="1193"/>
    </row>
    <row r="214" spans="1:57" ht="15.75" customHeight="1">
      <c r="A214" s="1189"/>
      <c r="B214" s="1189"/>
      <c r="C214" s="1919">
        <v>6</v>
      </c>
      <c r="D214" s="1920"/>
      <c r="E214" s="1920"/>
      <c r="F214" s="1920"/>
      <c r="G214" s="1921" t="s">
        <v>1884</v>
      </c>
      <c r="H214" s="1921"/>
      <c r="I214" s="1921"/>
      <c r="J214" s="1921"/>
      <c r="K214" s="1921"/>
      <c r="L214" s="1921"/>
      <c r="M214" s="1921"/>
      <c r="N214" s="1921"/>
      <c r="O214" s="1921"/>
      <c r="P214" s="1922"/>
      <c r="Q214" s="1922"/>
      <c r="R214" s="1922"/>
      <c r="S214" s="1922"/>
      <c r="T214" s="1922"/>
      <c r="U214" s="1923"/>
      <c r="V214" s="1923"/>
      <c r="W214" s="1923"/>
      <c r="X214" s="1923"/>
      <c r="Y214" s="1923"/>
      <c r="Z214" s="1923"/>
      <c r="AA214" s="1923"/>
      <c r="AB214" s="1923"/>
      <c r="AC214" s="1924" t="s">
        <v>1884</v>
      </c>
      <c r="AD214" s="1924"/>
      <c r="AE214" s="1924"/>
      <c r="AF214" s="1924"/>
      <c r="AG214" s="1908"/>
      <c r="AH214" s="1909"/>
      <c r="AI214" s="1909"/>
      <c r="AJ214" s="1909"/>
      <c r="AK214" s="1910"/>
      <c r="AL214" s="1189"/>
      <c r="AM214" s="1189"/>
      <c r="AN214" s="1189"/>
      <c r="AO214" s="1189"/>
      <c r="AP214" s="1189"/>
      <c r="AQ214" s="1189"/>
      <c r="AR214" s="1189"/>
      <c r="AS214" s="1189"/>
      <c r="AT214" s="1189"/>
      <c r="AU214" s="1189"/>
      <c r="AV214" s="1189"/>
      <c r="AW214" s="1189"/>
      <c r="AX214" s="1189"/>
      <c r="AY214" s="1189"/>
      <c r="AZ214" s="1189"/>
      <c r="BA214" s="1189"/>
      <c r="BB214" s="1189"/>
      <c r="BC214" s="1189"/>
      <c r="BD214" s="1189"/>
      <c r="BE214" s="1193"/>
    </row>
    <row r="215" spans="1:57" ht="15.75" customHeight="1">
      <c r="A215" s="1189"/>
      <c r="B215" s="1189"/>
      <c r="C215" s="1919">
        <v>7</v>
      </c>
      <c r="D215" s="1920"/>
      <c r="E215" s="1920"/>
      <c r="F215" s="1920"/>
      <c r="G215" s="1921"/>
      <c r="H215" s="1921"/>
      <c r="I215" s="1921"/>
      <c r="J215" s="1921"/>
      <c r="K215" s="1921"/>
      <c r="L215" s="1921"/>
      <c r="M215" s="1921"/>
      <c r="N215" s="1921"/>
      <c r="O215" s="1921"/>
      <c r="P215" s="1922"/>
      <c r="Q215" s="1922"/>
      <c r="R215" s="1922"/>
      <c r="S215" s="1922"/>
      <c r="T215" s="1922"/>
      <c r="U215" s="1923"/>
      <c r="V215" s="1923"/>
      <c r="W215" s="1923"/>
      <c r="X215" s="1923"/>
      <c r="Y215" s="1923"/>
      <c r="Z215" s="1923"/>
      <c r="AA215" s="1923"/>
      <c r="AB215" s="1923"/>
      <c r="AC215" s="1924" t="s">
        <v>1884</v>
      </c>
      <c r="AD215" s="1924"/>
      <c r="AE215" s="1924"/>
      <c r="AF215" s="1924"/>
      <c r="AG215" s="1908"/>
      <c r="AH215" s="1909"/>
      <c r="AI215" s="1909"/>
      <c r="AJ215" s="1909"/>
      <c r="AK215" s="1910"/>
      <c r="AL215" s="1189"/>
      <c r="AM215" s="1189"/>
      <c r="AN215" s="1189"/>
      <c r="AO215" s="1189"/>
      <c r="AP215" s="1189"/>
      <c r="AQ215" s="1189"/>
      <c r="AR215" s="1189"/>
      <c r="AS215" s="1189"/>
      <c r="AT215" s="1189"/>
      <c r="AU215" s="1189"/>
      <c r="AV215" s="1189"/>
      <c r="AW215" s="1189"/>
      <c r="AX215" s="1189"/>
      <c r="AY215" s="1189"/>
      <c r="AZ215" s="1189"/>
      <c r="BA215" s="1189"/>
      <c r="BB215" s="1189"/>
      <c r="BC215" s="1189"/>
      <c r="BD215" s="1189"/>
      <c r="BE215" s="1193"/>
    </row>
    <row r="216" spans="1:57" ht="15.75" customHeight="1">
      <c r="A216" s="1189"/>
      <c r="B216" s="1189"/>
      <c r="C216" s="1911" t="s">
        <v>2295</v>
      </c>
      <c r="D216" s="1912"/>
      <c r="E216" s="1912"/>
      <c r="F216" s="1912"/>
      <c r="G216" s="1912"/>
      <c r="H216" s="1912"/>
      <c r="I216" s="1912"/>
      <c r="J216" s="1912"/>
      <c r="K216" s="1912"/>
      <c r="L216" s="1912"/>
      <c r="M216" s="1912"/>
      <c r="N216" s="1912"/>
      <c r="O216" s="1912"/>
      <c r="P216" s="1913"/>
      <c r="Q216" s="1913"/>
      <c r="R216" s="1913"/>
      <c r="S216" s="1913"/>
      <c r="T216" s="1913"/>
      <c r="U216" s="1914">
        <f>-SUM(U209:U215)</f>
        <v>0</v>
      </c>
      <c r="V216" s="1914"/>
      <c r="W216" s="1914"/>
      <c r="X216" s="1914"/>
      <c r="Y216" s="1914">
        <f>-SUM(Y209:Y215)</f>
        <v>0</v>
      </c>
      <c r="Z216" s="1914"/>
      <c r="AA216" s="1914"/>
      <c r="AB216" s="1914"/>
      <c r="AC216" s="1915">
        <f>-SUM(AC209:AC215)</f>
        <v>0</v>
      </c>
      <c r="AD216" s="1915"/>
      <c r="AE216" s="1915"/>
      <c r="AF216" s="1915"/>
      <c r="AG216" s="1916"/>
      <c r="AH216" s="1917"/>
      <c r="AI216" s="1917"/>
      <c r="AJ216" s="1917"/>
      <c r="AK216" s="1918"/>
      <c r="AL216" s="1189"/>
      <c r="AM216" s="1189"/>
      <c r="AN216" s="1189"/>
      <c r="AO216" s="1189"/>
      <c r="AP216" s="1189"/>
      <c r="AQ216" s="1189"/>
      <c r="AR216" s="1189"/>
      <c r="AS216" s="1189"/>
      <c r="AT216" s="1189"/>
      <c r="AU216" s="1189"/>
      <c r="AV216" s="1189"/>
      <c r="AW216" s="1189"/>
      <c r="AX216" s="1189"/>
      <c r="AY216" s="1189"/>
      <c r="AZ216" s="1189"/>
      <c r="BA216" s="1189"/>
      <c r="BB216" s="1189"/>
      <c r="BC216" s="1189"/>
      <c r="BD216" s="1189"/>
      <c r="BE216" s="1193"/>
    </row>
    <row r="217" spans="1:57" ht="15.75" customHeight="1">
      <c r="A217" s="1189"/>
      <c r="B217" s="1189"/>
      <c r="C217" s="1189" t="s">
        <v>2294</v>
      </c>
      <c r="D217" s="1189"/>
      <c r="E217" s="1189"/>
      <c r="F217" s="1189"/>
      <c r="G217" s="1189"/>
      <c r="H217" s="1189"/>
      <c r="I217" s="1189"/>
      <c r="J217" s="1189"/>
      <c r="K217" s="1189"/>
      <c r="L217" s="1189"/>
      <c r="M217" s="1189"/>
      <c r="N217" s="1189"/>
      <c r="O217" s="1189"/>
      <c r="P217" s="1189"/>
      <c r="Q217" s="1189"/>
      <c r="R217" s="1189"/>
      <c r="S217" s="1189"/>
      <c r="T217" s="1189"/>
      <c r="U217" s="1189"/>
      <c r="V217" s="1189"/>
      <c r="W217" s="1189"/>
      <c r="X217" s="1189"/>
      <c r="Y217" s="1189"/>
      <c r="Z217" s="1189"/>
      <c r="AA217" s="1189"/>
      <c r="AB217" s="1189"/>
      <c r="AC217" s="1189"/>
      <c r="AD217" s="1189"/>
      <c r="AE217" s="1189"/>
      <c r="AF217" s="1189"/>
      <c r="AG217" s="1189"/>
      <c r="AH217" s="1189"/>
      <c r="AI217" s="1189"/>
      <c r="AJ217" s="1189"/>
      <c r="AK217" s="1189"/>
      <c r="AL217" s="1189"/>
      <c r="AM217" s="1189"/>
      <c r="AN217" s="1189"/>
      <c r="AO217" s="1189"/>
      <c r="AP217" s="1189"/>
      <c r="AQ217" s="1189"/>
      <c r="AR217" s="1189"/>
      <c r="AS217" s="1189"/>
      <c r="AT217" s="1189"/>
      <c r="AU217" s="1189"/>
      <c r="AV217" s="1189"/>
      <c r="AW217" s="1189"/>
      <c r="AX217" s="1189"/>
      <c r="AY217" s="1189"/>
      <c r="AZ217" s="1189"/>
      <c r="BA217" s="1189"/>
      <c r="BB217" s="1189"/>
      <c r="BC217" s="1189"/>
      <c r="BD217" s="1189"/>
      <c r="BE217" s="1193"/>
    </row>
    <row r="218" spans="1:57" ht="15.75" customHeight="1">
      <c r="A218" s="1189"/>
      <c r="B218" s="1189"/>
      <c r="C218" s="1189"/>
      <c r="D218" s="1189"/>
      <c r="E218" s="1189"/>
      <c r="F218" s="1189"/>
      <c r="G218" s="1189"/>
      <c r="H218" s="1189"/>
      <c r="I218" s="1189"/>
      <c r="J218" s="1189"/>
      <c r="K218" s="1189"/>
      <c r="L218" s="1189"/>
      <c r="M218" s="1189"/>
      <c r="N218" s="1189"/>
      <c r="O218" s="1189"/>
      <c r="P218" s="1189"/>
      <c r="Q218" s="1189"/>
      <c r="R218" s="1189"/>
      <c r="S218" s="1189"/>
      <c r="T218" s="1189"/>
      <c r="U218" s="1189"/>
      <c r="V218" s="1189"/>
      <c r="W218" s="1189"/>
      <c r="X218" s="1189"/>
      <c r="Y218" s="1189"/>
      <c r="Z218" s="1189"/>
      <c r="AA218" s="1189"/>
      <c r="AB218" s="1189"/>
      <c r="AC218" s="1189"/>
      <c r="AD218" s="1189"/>
      <c r="AE218" s="1189"/>
      <c r="AF218" s="1189"/>
      <c r="AG218" s="1189"/>
      <c r="AH218" s="1189"/>
      <c r="AI218" s="1189"/>
      <c r="AJ218" s="1189"/>
      <c r="AK218" s="1189"/>
      <c r="AL218" s="1189"/>
      <c r="AM218" s="1189"/>
      <c r="AN218" s="1189"/>
      <c r="AO218" s="1189"/>
      <c r="AP218" s="1189"/>
      <c r="AQ218" s="1189"/>
      <c r="AR218" s="1189"/>
      <c r="AS218" s="1189"/>
      <c r="AT218" s="1189"/>
      <c r="AU218" s="1189"/>
      <c r="AV218" s="1189"/>
      <c r="AW218" s="1189"/>
      <c r="AX218" s="1189"/>
      <c r="AY218" s="1189"/>
      <c r="AZ218" s="1189"/>
      <c r="BA218" s="1189"/>
      <c r="BB218" s="1189"/>
      <c r="BC218" s="1189"/>
      <c r="BD218" s="1189"/>
      <c r="BE218" s="1193"/>
    </row>
    <row r="219" spans="1:57" ht="15.75" customHeight="1">
      <c r="A219" s="1189"/>
      <c r="B219" s="1189"/>
      <c r="C219" s="1189"/>
      <c r="D219" s="1189"/>
      <c r="E219" s="1189"/>
      <c r="F219" s="1189"/>
      <c r="G219" s="1189"/>
      <c r="H219" s="1189"/>
      <c r="I219" s="1189"/>
      <c r="J219" s="1189"/>
      <c r="K219" s="1189"/>
      <c r="L219" s="1189"/>
      <c r="M219" s="1189"/>
      <c r="N219" s="1189"/>
      <c r="O219" s="1189"/>
      <c r="P219" s="1189"/>
      <c r="Q219" s="1189"/>
      <c r="R219" s="1189"/>
      <c r="S219" s="1189"/>
      <c r="T219" s="1189"/>
      <c r="U219" s="1189"/>
      <c r="V219" s="1189"/>
      <c r="W219" s="1189"/>
      <c r="X219" s="1189"/>
      <c r="Y219" s="1189"/>
      <c r="Z219" s="1189"/>
      <c r="AA219" s="1189"/>
      <c r="AB219" s="1189"/>
      <c r="AC219" s="1189"/>
      <c r="AD219" s="1189"/>
      <c r="AE219" s="1189"/>
      <c r="AF219" s="1189"/>
      <c r="AG219" s="1189"/>
      <c r="AH219" s="1189"/>
      <c r="AI219" s="1189"/>
      <c r="AJ219" s="1189"/>
      <c r="AK219" s="1189"/>
      <c r="AL219" s="1189"/>
      <c r="AM219" s="1189"/>
      <c r="AN219" s="1189"/>
      <c r="AO219" s="1189"/>
      <c r="AP219" s="1189"/>
      <c r="AQ219" s="1189"/>
      <c r="AR219" s="1189"/>
      <c r="AS219" s="1189"/>
      <c r="AT219" s="1189"/>
      <c r="AU219" s="1189"/>
      <c r="AV219" s="1189"/>
      <c r="AW219" s="1189"/>
      <c r="AX219" s="1189"/>
      <c r="AY219" s="1189"/>
      <c r="AZ219" s="1189"/>
      <c r="BA219" s="1189"/>
      <c r="BB219" s="1189"/>
      <c r="BC219" s="1189"/>
      <c r="BD219" s="1189"/>
      <c r="BE219" s="1193"/>
    </row>
    <row r="220" spans="1:57" ht="15.75" customHeight="1" thickBot="1">
      <c r="A220" s="1189"/>
      <c r="B220" s="1189"/>
      <c r="C220" s="1189"/>
      <c r="D220" s="1189"/>
      <c r="E220" s="1189"/>
      <c r="F220" s="1189"/>
      <c r="G220" s="1189"/>
      <c r="H220" s="1189"/>
      <c r="I220" s="1189"/>
      <c r="J220" s="1189"/>
      <c r="K220" s="1189"/>
      <c r="L220" s="1189"/>
      <c r="M220" s="1189"/>
      <c r="N220" s="1189"/>
      <c r="O220" s="1189"/>
      <c r="P220" s="1189"/>
      <c r="Q220" s="1189"/>
      <c r="R220" s="1189"/>
      <c r="S220" s="1189"/>
      <c r="T220" s="1189"/>
      <c r="U220" s="1189"/>
      <c r="V220" s="1189"/>
      <c r="W220" s="1189"/>
      <c r="X220" s="1189"/>
      <c r="Y220" s="1189"/>
      <c r="Z220" s="1189"/>
      <c r="AA220" s="1189"/>
      <c r="AB220" s="1189"/>
      <c r="AC220" s="1189"/>
      <c r="AD220" s="1189"/>
      <c r="AE220" s="1189"/>
      <c r="AF220" s="1189"/>
      <c r="AG220" s="1189"/>
      <c r="AH220" s="1189"/>
      <c r="AI220" s="1189"/>
      <c r="AJ220" s="1189"/>
      <c r="AK220" s="1189"/>
      <c r="AL220" s="1189"/>
      <c r="AM220" s="1189"/>
      <c r="AN220" s="1189"/>
      <c r="AO220" s="1189"/>
      <c r="AP220" s="1189"/>
      <c r="AQ220" s="1189"/>
      <c r="AR220" s="1189"/>
      <c r="AS220" s="1189"/>
      <c r="AT220" s="1189"/>
      <c r="AU220" s="1189"/>
      <c r="AV220" s="1189"/>
      <c r="AW220" s="1189"/>
      <c r="AX220" s="1189"/>
      <c r="AY220" s="1189"/>
      <c r="AZ220" s="1189"/>
      <c r="BA220" s="1189"/>
      <c r="BB220" s="1189"/>
      <c r="BC220" s="1189"/>
      <c r="BD220" s="1189"/>
      <c r="BE220" s="1193"/>
    </row>
    <row r="221" spans="1:57" ht="15.75" customHeight="1">
      <c r="A221" s="1189"/>
      <c r="B221" s="1895" t="s">
        <v>2293</v>
      </c>
      <c r="C221" s="1896"/>
      <c r="D221" s="1896"/>
      <c r="E221" s="1896"/>
      <c r="F221" s="1896"/>
      <c r="G221" s="1896"/>
      <c r="H221" s="1896"/>
      <c r="I221" s="1896"/>
      <c r="J221" s="1896"/>
      <c r="K221" s="1896"/>
      <c r="L221" s="1896"/>
      <c r="M221" s="1896"/>
      <c r="N221" s="1896"/>
      <c r="O221" s="1896"/>
      <c r="P221" s="1896"/>
      <c r="Q221" s="1896"/>
      <c r="R221" s="1896"/>
      <c r="S221" s="1896"/>
      <c r="T221" s="1896"/>
      <c r="U221" s="1896"/>
      <c r="V221" s="1896"/>
      <c r="W221" s="1896"/>
      <c r="X221" s="1896"/>
      <c r="Y221" s="1896"/>
      <c r="Z221" s="1896"/>
      <c r="AA221" s="1896"/>
      <c r="AB221" s="1896"/>
      <c r="AC221" s="1896"/>
      <c r="AD221" s="1896"/>
      <c r="AE221" s="1896"/>
      <c r="AF221" s="1896"/>
      <c r="AG221" s="1896"/>
      <c r="AH221" s="1896"/>
      <c r="AI221" s="1896"/>
      <c r="AJ221" s="1896"/>
      <c r="AK221" s="1896"/>
      <c r="AL221" s="1896"/>
      <c r="AM221" s="1896"/>
      <c r="AN221" s="1896"/>
      <c r="AO221" s="1896"/>
      <c r="AP221" s="1896"/>
      <c r="AQ221" s="1896"/>
      <c r="AR221" s="1896"/>
      <c r="AS221" s="1896"/>
      <c r="AT221" s="1896"/>
      <c r="AU221" s="1896"/>
      <c r="AV221" s="1896"/>
      <c r="AW221" s="1896"/>
      <c r="AX221" s="1896"/>
      <c r="AY221" s="1896"/>
      <c r="AZ221" s="1896"/>
      <c r="BA221" s="1896"/>
      <c r="BB221" s="1896"/>
      <c r="BC221" s="1896"/>
      <c r="BD221" s="1897"/>
      <c r="BE221" s="1193"/>
    </row>
    <row r="222" spans="1:57" ht="15.75" customHeight="1">
      <c r="A222" s="1189"/>
      <c r="B222" s="1898"/>
      <c r="C222" s="1899"/>
      <c r="D222" s="1899"/>
      <c r="E222" s="1899"/>
      <c r="F222" s="1899"/>
      <c r="G222" s="1899"/>
      <c r="H222" s="1899"/>
      <c r="I222" s="1899"/>
      <c r="J222" s="1899"/>
      <c r="K222" s="1899"/>
      <c r="L222" s="1899"/>
      <c r="M222" s="1899"/>
      <c r="N222" s="1899"/>
      <c r="O222" s="1899"/>
      <c r="P222" s="1899"/>
      <c r="Q222" s="1899"/>
      <c r="R222" s="1899"/>
      <c r="S222" s="1899"/>
      <c r="T222" s="1899"/>
      <c r="U222" s="1899"/>
      <c r="V222" s="1899"/>
      <c r="W222" s="1899"/>
      <c r="X222" s="1899"/>
      <c r="Y222" s="1899"/>
      <c r="Z222" s="1899"/>
      <c r="AA222" s="1899"/>
      <c r="AB222" s="1899"/>
      <c r="AC222" s="1899"/>
      <c r="AD222" s="1899"/>
      <c r="AE222" s="1899"/>
      <c r="AF222" s="1899"/>
      <c r="AG222" s="1899"/>
      <c r="AH222" s="1899"/>
      <c r="AI222" s="1899"/>
      <c r="AJ222" s="1899"/>
      <c r="AK222" s="1899"/>
      <c r="AL222" s="1899"/>
      <c r="AM222" s="1899"/>
      <c r="AN222" s="1899"/>
      <c r="AO222" s="1899"/>
      <c r="AP222" s="1899"/>
      <c r="AQ222" s="1899"/>
      <c r="AR222" s="1899"/>
      <c r="AS222" s="1899"/>
      <c r="AT222" s="1899"/>
      <c r="AU222" s="1899"/>
      <c r="AV222" s="1899"/>
      <c r="AW222" s="1899"/>
      <c r="AX222" s="1899"/>
      <c r="AY222" s="1899"/>
      <c r="AZ222" s="1899"/>
      <c r="BA222" s="1899"/>
      <c r="BB222" s="1899"/>
      <c r="BC222" s="1899"/>
      <c r="BD222" s="1900"/>
      <c r="BE222" s="1193"/>
    </row>
    <row r="223" spans="1:57" ht="15.75" customHeight="1">
      <c r="A223" s="1189"/>
      <c r="B223" s="1901" t="s">
        <v>2292</v>
      </c>
      <c r="C223" s="1902"/>
      <c r="D223" s="1902"/>
      <c r="E223" s="1902"/>
      <c r="F223" s="1902"/>
      <c r="G223" s="1902"/>
      <c r="H223" s="1902"/>
      <c r="I223" s="1902"/>
      <c r="J223" s="1902"/>
      <c r="K223" s="1902"/>
      <c r="L223" s="1902"/>
      <c r="M223" s="1902"/>
      <c r="N223" s="1902"/>
      <c r="O223" s="1902"/>
      <c r="P223" s="1902"/>
      <c r="Q223" s="1902"/>
      <c r="R223" s="1902"/>
      <c r="S223" s="1902"/>
      <c r="T223" s="1902"/>
      <c r="U223" s="1902"/>
      <c r="V223" s="1902"/>
      <c r="W223" s="1902"/>
      <c r="X223" s="1902"/>
      <c r="Y223" s="1902"/>
      <c r="Z223" s="1902"/>
      <c r="AA223" s="1902"/>
      <c r="AB223" s="1902"/>
      <c r="AC223" s="1902"/>
      <c r="AD223" s="1902"/>
      <c r="AE223" s="1902"/>
      <c r="AF223" s="1902"/>
      <c r="AG223" s="1902"/>
      <c r="AH223" s="1902"/>
      <c r="AI223" s="1902"/>
      <c r="AJ223" s="1902"/>
      <c r="AK223" s="1902"/>
      <c r="AL223" s="1902"/>
      <c r="AM223" s="1902"/>
      <c r="AN223" s="1902"/>
      <c r="AO223" s="1902"/>
      <c r="AP223" s="1902"/>
      <c r="AQ223" s="1902"/>
      <c r="AR223" s="1902"/>
      <c r="AS223" s="1902"/>
      <c r="AT223" s="1902"/>
      <c r="AU223" s="1902"/>
      <c r="AV223" s="1902"/>
      <c r="AW223" s="1902"/>
      <c r="AX223" s="1902"/>
      <c r="AY223" s="1902"/>
      <c r="AZ223" s="1902"/>
      <c r="BA223" s="1902"/>
      <c r="BB223" s="1902"/>
      <c r="BC223" s="1902"/>
      <c r="BD223" s="1903"/>
      <c r="BE223" s="1193"/>
    </row>
    <row r="224" spans="1:57" ht="15.75" customHeight="1">
      <c r="A224" s="1189"/>
      <c r="B224" s="1901" t="s">
        <v>2291</v>
      </c>
      <c r="C224" s="1902"/>
      <c r="D224" s="1902"/>
      <c r="E224" s="1902"/>
      <c r="F224" s="1902"/>
      <c r="G224" s="1902"/>
      <c r="H224" s="1902"/>
      <c r="I224" s="1902"/>
      <c r="J224" s="1902"/>
      <c r="K224" s="1902"/>
      <c r="L224" s="1902"/>
      <c r="M224" s="1902"/>
      <c r="N224" s="1902"/>
      <c r="O224" s="1902"/>
      <c r="P224" s="1902"/>
      <c r="Q224" s="1902"/>
      <c r="R224" s="1902"/>
      <c r="S224" s="1902"/>
      <c r="T224" s="1902"/>
      <c r="U224" s="1902"/>
      <c r="V224" s="1902"/>
      <c r="W224" s="1902"/>
      <c r="X224" s="1902"/>
      <c r="Y224" s="1902"/>
      <c r="Z224" s="1902"/>
      <c r="AA224" s="1902"/>
      <c r="AB224" s="1902"/>
      <c r="AC224" s="1902"/>
      <c r="AD224" s="1902"/>
      <c r="AE224" s="1902"/>
      <c r="AF224" s="1902"/>
      <c r="AG224" s="1902"/>
      <c r="AH224" s="1902"/>
      <c r="AI224" s="1902"/>
      <c r="AJ224" s="1902"/>
      <c r="AK224" s="1902"/>
      <c r="AL224" s="1902"/>
      <c r="AM224" s="1902"/>
      <c r="AN224" s="1902"/>
      <c r="AO224" s="1902"/>
      <c r="AP224" s="1902"/>
      <c r="AQ224" s="1902"/>
      <c r="AR224" s="1902"/>
      <c r="AS224" s="1902"/>
      <c r="AT224" s="1902"/>
      <c r="AU224" s="1902"/>
      <c r="AV224" s="1902"/>
      <c r="AW224" s="1902"/>
      <c r="AX224" s="1902"/>
      <c r="AY224" s="1902"/>
      <c r="AZ224" s="1902"/>
      <c r="BA224" s="1902"/>
      <c r="BB224" s="1902"/>
      <c r="BC224" s="1902"/>
      <c r="BD224" s="1903"/>
      <c r="BE224" s="1193"/>
    </row>
    <row r="225" spans="1:57" ht="15.75" customHeight="1">
      <c r="A225" s="1189"/>
      <c r="B225" s="1188"/>
      <c r="C225" s="1189"/>
      <c r="D225" s="1189"/>
      <c r="E225" s="1189"/>
      <c r="F225" s="1189"/>
      <c r="G225" s="1189"/>
      <c r="H225" s="1189"/>
      <c r="I225" s="1189"/>
      <c r="J225" s="1189"/>
      <c r="K225" s="1189"/>
      <c r="L225" s="1189"/>
      <c r="M225" s="1189"/>
      <c r="N225" s="1189"/>
      <c r="O225" s="1189"/>
      <c r="P225" s="1189"/>
      <c r="Q225" s="1189"/>
      <c r="R225" s="1189"/>
      <c r="S225" s="1189"/>
      <c r="T225" s="1189"/>
      <c r="U225" s="1189"/>
      <c r="V225" s="1189"/>
      <c r="W225" s="1189"/>
      <c r="X225" s="1189"/>
      <c r="Y225" s="1189"/>
      <c r="Z225" s="1189"/>
      <c r="AA225" s="1189"/>
      <c r="AB225" s="1189"/>
      <c r="AC225" s="1189"/>
      <c r="AD225" s="1189"/>
      <c r="AE225" s="1189"/>
      <c r="AF225" s="1189"/>
      <c r="AG225" s="1189"/>
      <c r="AH225" s="1189"/>
      <c r="AI225" s="1189"/>
      <c r="AJ225" s="1189"/>
      <c r="AK225" s="1189"/>
      <c r="AL225" s="1189"/>
      <c r="AM225" s="1189"/>
      <c r="AN225" s="1189"/>
      <c r="AO225" s="1189"/>
      <c r="AP225" s="1189"/>
      <c r="AQ225" s="1189"/>
      <c r="AR225" s="1189"/>
      <c r="AS225" s="1189"/>
      <c r="AT225" s="1189"/>
      <c r="AU225" s="1189"/>
      <c r="AV225" s="1189"/>
      <c r="AW225" s="1189"/>
      <c r="AX225" s="1189"/>
      <c r="AY225" s="1189"/>
      <c r="AZ225" s="1189"/>
      <c r="BA225" s="1189"/>
      <c r="BB225" s="1189"/>
      <c r="BC225" s="1189"/>
      <c r="BD225" s="1193"/>
      <c r="BE225" s="1193"/>
    </row>
    <row r="226" spans="1:57" ht="15.75" customHeight="1">
      <c r="A226" s="1189"/>
      <c r="B226" s="1904" t="s">
        <v>2290</v>
      </c>
      <c r="C226" s="1905"/>
      <c r="D226" s="1905"/>
      <c r="E226" s="1905"/>
      <c r="F226" s="1905"/>
      <c r="G226" s="1905"/>
      <c r="H226" s="1905"/>
      <c r="I226" s="1905"/>
      <c r="J226" s="1905"/>
      <c r="K226" s="1905"/>
      <c r="L226" s="1905"/>
      <c r="M226" s="1905"/>
      <c r="N226" s="1905"/>
      <c r="O226" s="1905"/>
      <c r="P226" s="1905"/>
      <c r="Q226" s="1905"/>
      <c r="R226" s="1905"/>
      <c r="S226" s="1905"/>
      <c r="T226" s="1905"/>
      <c r="U226" s="1905"/>
      <c r="V226" s="1905"/>
      <c r="W226" s="1905"/>
      <c r="X226" s="1905"/>
      <c r="Y226" s="1905"/>
      <c r="Z226" s="1905"/>
      <c r="AA226" s="1905"/>
      <c r="AB226" s="1905"/>
      <c r="AC226" s="1905"/>
      <c r="AD226" s="1905"/>
      <c r="AE226" s="1905"/>
      <c r="AF226" s="1905"/>
      <c r="AG226" s="1905"/>
      <c r="AH226" s="1905"/>
      <c r="AI226" s="1905"/>
      <c r="AJ226" s="1905"/>
      <c r="AK226" s="1905"/>
      <c r="AL226" s="1905"/>
      <c r="AM226" s="1905"/>
      <c r="AN226" s="1905"/>
      <c r="AO226" s="1905"/>
      <c r="AP226" s="1905"/>
      <c r="AQ226" s="1905"/>
      <c r="AR226" s="1905"/>
      <c r="AS226" s="1905"/>
      <c r="AT226" s="1905"/>
      <c r="AU226" s="1905"/>
      <c r="AV226" s="1905"/>
      <c r="AW226" s="1905"/>
      <c r="AX226" s="1905"/>
      <c r="AY226" s="1905"/>
      <c r="AZ226" s="1905"/>
      <c r="BA226" s="1905"/>
      <c r="BB226" s="1905"/>
      <c r="BC226" s="1905"/>
      <c r="BD226" s="1906"/>
      <c r="BE226" s="1193"/>
    </row>
    <row r="227" spans="1:57" ht="15.75" customHeight="1">
      <c r="A227" s="1189"/>
      <c r="B227" s="1232"/>
      <c r="C227" s="1189"/>
      <c r="D227" s="1189"/>
      <c r="E227" s="1189"/>
      <c r="F227" s="1189"/>
      <c r="G227" s="1189"/>
      <c r="H227" s="1189"/>
      <c r="I227" s="1189"/>
      <c r="J227" s="1189"/>
      <c r="K227" s="1189"/>
      <c r="L227" s="1189"/>
      <c r="M227" s="1189"/>
      <c r="N227" s="1189"/>
      <c r="O227" s="1189"/>
      <c r="P227" s="1189"/>
      <c r="Q227" s="1189"/>
      <c r="R227" s="1189"/>
      <c r="S227" s="1189"/>
      <c r="T227" s="1189"/>
      <c r="U227" s="1189"/>
      <c r="V227" s="1189"/>
      <c r="W227" s="1189"/>
      <c r="X227" s="1189"/>
      <c r="Y227" s="1189"/>
      <c r="Z227" s="1189"/>
      <c r="AA227" s="1189"/>
      <c r="AB227" s="1189"/>
      <c r="AC227" s="1189"/>
      <c r="AD227" s="1189"/>
      <c r="AE227" s="1189"/>
      <c r="AF227" s="1189"/>
      <c r="AG227" s="1189"/>
      <c r="AH227" s="1189"/>
      <c r="AI227" s="1189"/>
      <c r="AJ227" s="1189"/>
      <c r="AK227" s="1189"/>
      <c r="AL227" s="1189"/>
      <c r="AM227" s="1189"/>
      <c r="AN227" s="1189"/>
      <c r="AO227" s="1189"/>
      <c r="AP227" s="1189"/>
      <c r="AQ227" s="1189"/>
      <c r="AR227" s="1189"/>
      <c r="AS227" s="1189"/>
      <c r="AT227" s="1189"/>
      <c r="AU227" s="1189"/>
      <c r="AV227" s="1189"/>
      <c r="AW227" s="1189"/>
      <c r="AX227" s="1189"/>
      <c r="AY227" s="1189"/>
      <c r="AZ227" s="1189"/>
      <c r="BA227" s="1189"/>
      <c r="BB227" s="1189"/>
      <c r="BC227" s="1189"/>
      <c r="BD227" s="1193"/>
      <c r="BE227" s="1193"/>
    </row>
    <row r="228" spans="1:57" ht="15.75" customHeight="1">
      <c r="A228" s="1189"/>
      <c r="B228" s="1233"/>
      <c r="C228" s="1189"/>
      <c r="D228" s="1189"/>
      <c r="E228" s="1189"/>
      <c r="F228" s="1189"/>
      <c r="G228" s="1189"/>
      <c r="H228" s="1191" t="s">
        <v>2289</v>
      </c>
      <c r="I228" s="1189"/>
      <c r="J228" s="1189"/>
      <c r="K228" s="1189"/>
      <c r="L228" s="1189"/>
      <c r="M228" s="1189"/>
      <c r="N228" s="1189"/>
      <c r="O228" s="1189"/>
      <c r="P228" s="1189"/>
      <c r="Q228" s="1189"/>
      <c r="R228" s="1189"/>
      <c r="S228" s="1189"/>
      <c r="T228" s="1189"/>
      <c r="U228" s="1189"/>
      <c r="V228" s="1189"/>
      <c r="W228" s="1189"/>
      <c r="X228" s="1189"/>
      <c r="Y228" s="1189"/>
      <c r="Z228" s="1189"/>
      <c r="AA228" s="1189"/>
      <c r="AB228" s="1189"/>
      <c r="AC228" s="1189"/>
      <c r="AD228" s="1189"/>
      <c r="AE228" s="1189"/>
      <c r="AF228" s="1189"/>
      <c r="AG228" s="1189"/>
      <c r="AH228" s="1189"/>
      <c r="AI228" s="1189"/>
      <c r="AJ228" s="1189"/>
      <c r="AK228" s="1189"/>
      <c r="AL228" s="1189"/>
      <c r="AM228" s="1189"/>
      <c r="AN228" s="1189"/>
      <c r="AO228" s="1189"/>
      <c r="AP228" s="1189"/>
      <c r="AQ228" s="1189"/>
      <c r="AR228" s="1189"/>
      <c r="AS228" s="1189"/>
      <c r="AT228" s="1189"/>
      <c r="AU228" s="1189"/>
      <c r="AV228" s="1189"/>
      <c r="AW228" s="1189"/>
      <c r="AX228" s="1189"/>
      <c r="AY228" s="1189"/>
      <c r="AZ228" s="1189"/>
      <c r="BA228" s="1189"/>
      <c r="BB228" s="1189"/>
      <c r="BC228" s="1189"/>
      <c r="BD228" s="1193"/>
      <c r="BE228" s="1193"/>
    </row>
    <row r="229" spans="1:57" ht="15.75" customHeight="1">
      <c r="A229" s="1189"/>
      <c r="B229" s="1233"/>
      <c r="C229" s="1189"/>
      <c r="D229" s="1189"/>
      <c r="E229" s="1189"/>
      <c r="F229" s="1189"/>
      <c r="G229" s="1189"/>
      <c r="H229" s="1189"/>
      <c r="I229" s="1189"/>
      <c r="J229" s="1189"/>
      <c r="K229" s="1189"/>
      <c r="L229" s="1189"/>
      <c r="M229" s="1189"/>
      <c r="N229" s="1189"/>
      <c r="O229" s="1189"/>
      <c r="P229" s="1189"/>
      <c r="Q229" s="1189"/>
      <c r="R229" s="1189"/>
      <c r="S229" s="1189"/>
      <c r="T229" s="1189"/>
      <c r="U229" s="1189"/>
      <c r="V229" s="1189"/>
      <c r="W229" s="1189"/>
      <c r="X229" s="1189"/>
      <c r="Y229" s="1189"/>
      <c r="Z229" s="1189"/>
      <c r="AA229" s="1189"/>
      <c r="AB229" s="1189"/>
      <c r="AC229" s="1189"/>
      <c r="AD229" s="1189"/>
      <c r="AE229" s="1189"/>
      <c r="AF229" s="1189"/>
      <c r="AG229" s="1189"/>
      <c r="AH229" s="1189"/>
      <c r="AI229" s="1189"/>
      <c r="AJ229" s="1189"/>
      <c r="AK229" s="1189"/>
      <c r="AL229" s="1189"/>
      <c r="AM229" s="1189"/>
      <c r="AN229" s="1189"/>
      <c r="AO229" s="1189"/>
      <c r="AP229" s="1189"/>
      <c r="AQ229" s="1189"/>
      <c r="AR229" s="1189"/>
      <c r="AS229" s="1189"/>
      <c r="AT229" s="1189"/>
      <c r="AU229" s="1189"/>
      <c r="AV229" s="1189"/>
      <c r="AW229" s="1189"/>
      <c r="AX229" s="1189"/>
      <c r="AY229" s="1189"/>
      <c r="AZ229" s="1189"/>
      <c r="BA229" s="1189"/>
      <c r="BB229" s="1189"/>
      <c r="BC229" s="1189"/>
      <c r="BD229" s="1193"/>
      <c r="BE229" s="1193"/>
    </row>
    <row r="230" spans="1:57" ht="15.75" customHeight="1">
      <c r="A230" s="1189"/>
      <c r="B230" s="1233"/>
      <c r="C230" s="1189"/>
      <c r="D230" s="1189"/>
      <c r="E230" s="1189"/>
      <c r="F230" s="1189"/>
      <c r="G230" s="1189"/>
      <c r="H230" s="1907" t="s">
        <v>2288</v>
      </c>
      <c r="I230" s="1907"/>
      <c r="J230" s="1907"/>
      <c r="K230" s="1907"/>
      <c r="L230" s="1907"/>
      <c r="M230" s="1907"/>
      <c r="N230" s="1907"/>
      <c r="O230" s="1907"/>
      <c r="P230" s="1907"/>
      <c r="Q230" s="1907"/>
      <c r="R230" s="1907"/>
      <c r="S230" s="1907"/>
      <c r="T230" s="1907"/>
      <c r="U230" s="1907"/>
      <c r="V230" s="1907"/>
      <c r="W230" s="1907"/>
      <c r="X230" s="1907"/>
      <c r="Y230" s="1907"/>
      <c r="Z230" s="1907"/>
      <c r="AA230" s="1907"/>
      <c r="AB230" s="1907"/>
      <c r="AC230" s="1907"/>
      <c r="AD230" s="1907"/>
      <c r="AE230" s="1907"/>
      <c r="AF230" s="1907"/>
      <c r="AG230" s="1907"/>
      <c r="AH230" s="1907"/>
      <c r="AI230" s="1907"/>
      <c r="AJ230" s="1907"/>
      <c r="AK230" s="1907"/>
      <c r="AL230" s="1907"/>
      <c r="AM230" s="1907"/>
      <c r="AN230" s="1907"/>
      <c r="AO230" s="1907"/>
      <c r="AP230" s="1907"/>
      <c r="AQ230" s="1907"/>
      <c r="AR230" s="1907"/>
      <c r="AS230" s="1907"/>
      <c r="AT230" s="1907"/>
      <c r="AU230" s="1907"/>
      <c r="AV230" s="1907"/>
      <c r="AW230" s="1907"/>
      <c r="AX230" s="1907"/>
      <c r="AY230" s="1907"/>
      <c r="AZ230" s="1189"/>
      <c r="BA230" s="1189"/>
      <c r="BB230" s="1189"/>
      <c r="BC230" s="1189"/>
      <c r="BD230" s="1193"/>
      <c r="BE230" s="1193"/>
    </row>
    <row r="231" spans="1:57" ht="15.75" customHeight="1">
      <c r="A231" s="1189"/>
      <c r="B231" s="1233"/>
      <c r="C231" s="1189"/>
      <c r="D231" s="1189"/>
      <c r="E231" s="1189"/>
      <c r="F231" s="1189"/>
      <c r="G231" s="1189"/>
      <c r="H231" s="1189"/>
      <c r="I231" s="1189"/>
      <c r="J231" s="1189"/>
      <c r="K231" s="1189"/>
      <c r="L231" s="1189"/>
      <c r="M231" s="1189"/>
      <c r="N231" s="1189"/>
      <c r="O231" s="1189"/>
      <c r="P231" s="1189"/>
      <c r="Q231" s="1189"/>
      <c r="R231" s="1189"/>
      <c r="S231" s="1189"/>
      <c r="T231" s="1189"/>
      <c r="U231" s="1189"/>
      <c r="V231" s="1189"/>
      <c r="W231" s="1189"/>
      <c r="X231" s="1189"/>
      <c r="Y231" s="1189"/>
      <c r="Z231" s="1189"/>
      <c r="AA231" s="1189"/>
      <c r="AB231" s="1189"/>
      <c r="AC231" s="1189"/>
      <c r="AD231" s="1189"/>
      <c r="AE231" s="1189"/>
      <c r="AF231" s="1189"/>
      <c r="AG231" s="1189"/>
      <c r="AH231" s="1189"/>
      <c r="AI231" s="1189"/>
      <c r="AJ231" s="1189"/>
      <c r="AK231" s="1189"/>
      <c r="AL231" s="1189"/>
      <c r="AM231" s="1189"/>
      <c r="AN231" s="1189"/>
      <c r="AO231" s="1189"/>
      <c r="AP231" s="1189"/>
      <c r="AQ231" s="1189"/>
      <c r="AR231" s="1189"/>
      <c r="AS231" s="1189"/>
      <c r="AT231" s="1189"/>
      <c r="AU231" s="1189"/>
      <c r="AV231" s="1189"/>
      <c r="AW231" s="1189"/>
      <c r="AX231" s="1189"/>
      <c r="AY231" s="1189"/>
      <c r="AZ231" s="1189"/>
      <c r="BA231" s="1189"/>
      <c r="BB231" s="1189"/>
      <c r="BC231" s="1189"/>
      <c r="BD231" s="1193"/>
      <c r="BE231" s="1193"/>
    </row>
    <row r="232" spans="1:57" ht="15.75" customHeight="1">
      <c r="A232" s="1189"/>
      <c r="B232" s="1233"/>
      <c r="C232" s="1189"/>
      <c r="D232" s="1189"/>
      <c r="E232" s="1189"/>
      <c r="F232" s="1189"/>
      <c r="G232" s="1189"/>
      <c r="H232" s="1890" t="s">
        <v>2287</v>
      </c>
      <c r="I232" s="1890"/>
      <c r="J232" s="1890"/>
      <c r="K232" s="1890"/>
      <c r="L232" s="1890"/>
      <c r="M232" s="1890"/>
      <c r="N232" s="1890"/>
      <c r="O232" s="1890"/>
      <c r="P232" s="1890"/>
      <c r="Q232" s="1890"/>
      <c r="R232" s="1890"/>
      <c r="S232" s="1890"/>
      <c r="T232" s="1890"/>
      <c r="U232" s="1890"/>
      <c r="V232" s="1890"/>
      <c r="W232" s="1890"/>
      <c r="X232" s="1890"/>
      <c r="Y232" s="1890"/>
      <c r="Z232" s="1890"/>
      <c r="AA232" s="1890"/>
      <c r="AB232" s="1890"/>
      <c r="AC232" s="1890"/>
      <c r="AD232" s="1890"/>
      <c r="AE232" s="1890"/>
      <c r="AF232" s="1890"/>
      <c r="AG232" s="1890"/>
      <c r="AH232" s="1890"/>
      <c r="AI232" s="1890"/>
      <c r="AJ232" s="1890"/>
      <c r="AK232" s="1890"/>
      <c r="AL232" s="1890"/>
      <c r="AM232" s="1890"/>
      <c r="AN232" s="1890"/>
      <c r="AO232" s="1890"/>
      <c r="AP232" s="1890"/>
      <c r="AQ232" s="1890"/>
      <c r="AR232" s="1890"/>
      <c r="AS232" s="1890"/>
      <c r="AT232" s="1890"/>
      <c r="AU232" s="1890"/>
      <c r="AV232" s="1890"/>
      <c r="AW232" s="1890"/>
      <c r="AX232" s="1890"/>
      <c r="AY232" s="1890"/>
      <c r="AZ232" s="1890"/>
      <c r="BA232" s="1189"/>
      <c r="BB232" s="1189"/>
      <c r="BC232" s="1189"/>
      <c r="BD232" s="1193"/>
      <c r="BE232" s="1193"/>
    </row>
    <row r="233" spans="1:57" ht="15.75" customHeight="1">
      <c r="A233" s="1189"/>
      <c r="B233" s="1188"/>
      <c r="C233" s="1189"/>
      <c r="D233" s="1189"/>
      <c r="E233" s="1189"/>
      <c r="F233" s="1189"/>
      <c r="G233" s="1189"/>
      <c r="H233" s="1890"/>
      <c r="I233" s="1890"/>
      <c r="J233" s="1890"/>
      <c r="K233" s="1890"/>
      <c r="L233" s="1890"/>
      <c r="M233" s="1890"/>
      <c r="N233" s="1890"/>
      <c r="O233" s="1890"/>
      <c r="P233" s="1890"/>
      <c r="Q233" s="1890"/>
      <c r="R233" s="1890"/>
      <c r="S233" s="1890"/>
      <c r="T233" s="1890"/>
      <c r="U233" s="1890"/>
      <c r="V233" s="1890"/>
      <c r="W233" s="1890"/>
      <c r="X233" s="1890"/>
      <c r="Y233" s="1890"/>
      <c r="Z233" s="1890"/>
      <c r="AA233" s="1890"/>
      <c r="AB233" s="1890"/>
      <c r="AC233" s="1890"/>
      <c r="AD233" s="1890"/>
      <c r="AE233" s="1890"/>
      <c r="AF233" s="1890"/>
      <c r="AG233" s="1890"/>
      <c r="AH233" s="1890"/>
      <c r="AI233" s="1890"/>
      <c r="AJ233" s="1890"/>
      <c r="AK233" s="1890"/>
      <c r="AL233" s="1890"/>
      <c r="AM233" s="1890"/>
      <c r="AN233" s="1890"/>
      <c r="AO233" s="1890"/>
      <c r="AP233" s="1890"/>
      <c r="AQ233" s="1890"/>
      <c r="AR233" s="1890"/>
      <c r="AS233" s="1890"/>
      <c r="AT233" s="1890"/>
      <c r="AU233" s="1890"/>
      <c r="AV233" s="1890"/>
      <c r="AW233" s="1890"/>
      <c r="AX233" s="1890"/>
      <c r="AY233" s="1890"/>
      <c r="AZ233" s="1890"/>
      <c r="BA233" s="1189"/>
      <c r="BB233" s="1189"/>
      <c r="BC233" s="1189"/>
      <c r="BD233" s="1193"/>
      <c r="BE233" s="1193"/>
    </row>
    <row r="234" spans="1:57" ht="15.75" customHeight="1">
      <c r="A234" s="1189"/>
      <c r="B234" s="1188"/>
      <c r="C234" s="1189"/>
      <c r="D234" s="1189"/>
      <c r="E234" s="1189"/>
      <c r="F234" s="1189"/>
      <c r="G234" s="1189"/>
      <c r="H234" s="1890"/>
      <c r="I234" s="1890"/>
      <c r="J234" s="1890"/>
      <c r="K234" s="1890"/>
      <c r="L234" s="1890"/>
      <c r="M234" s="1890"/>
      <c r="N234" s="1890"/>
      <c r="O234" s="1890"/>
      <c r="P234" s="1890"/>
      <c r="Q234" s="1890"/>
      <c r="R234" s="1890"/>
      <c r="S234" s="1890"/>
      <c r="T234" s="1890"/>
      <c r="U234" s="1890"/>
      <c r="V234" s="1890"/>
      <c r="W234" s="1890"/>
      <c r="X234" s="1890"/>
      <c r="Y234" s="1890"/>
      <c r="Z234" s="1890"/>
      <c r="AA234" s="1890"/>
      <c r="AB234" s="1890"/>
      <c r="AC234" s="1890"/>
      <c r="AD234" s="1890"/>
      <c r="AE234" s="1890"/>
      <c r="AF234" s="1890"/>
      <c r="AG234" s="1890"/>
      <c r="AH234" s="1890"/>
      <c r="AI234" s="1890"/>
      <c r="AJ234" s="1890"/>
      <c r="AK234" s="1890"/>
      <c r="AL234" s="1890"/>
      <c r="AM234" s="1890"/>
      <c r="AN234" s="1890"/>
      <c r="AO234" s="1890"/>
      <c r="AP234" s="1890"/>
      <c r="AQ234" s="1890"/>
      <c r="AR234" s="1890"/>
      <c r="AS234" s="1890"/>
      <c r="AT234" s="1890"/>
      <c r="AU234" s="1890"/>
      <c r="AV234" s="1890"/>
      <c r="AW234" s="1890"/>
      <c r="AX234" s="1890"/>
      <c r="AY234" s="1890"/>
      <c r="AZ234" s="1890"/>
      <c r="BA234" s="1189"/>
      <c r="BB234" s="1189"/>
      <c r="BC234" s="1189"/>
      <c r="BD234" s="1193"/>
      <c r="BE234" s="1193"/>
    </row>
    <row r="235" spans="1:57" ht="15.75" customHeight="1">
      <c r="A235" s="1189"/>
      <c r="B235" s="1188"/>
      <c r="C235" s="1189"/>
      <c r="D235" s="1189"/>
      <c r="E235" s="1189"/>
      <c r="F235" s="1189"/>
      <c r="G235" s="1189"/>
      <c r="H235" s="1890"/>
      <c r="I235" s="1890"/>
      <c r="J235" s="1890"/>
      <c r="K235" s="1890"/>
      <c r="L235" s="1890"/>
      <c r="M235" s="1890"/>
      <c r="N235" s="1890"/>
      <c r="O235" s="1890"/>
      <c r="P235" s="1890"/>
      <c r="Q235" s="1890"/>
      <c r="R235" s="1890"/>
      <c r="S235" s="1890"/>
      <c r="T235" s="1890"/>
      <c r="U235" s="1890"/>
      <c r="V235" s="1890"/>
      <c r="W235" s="1890"/>
      <c r="X235" s="1890"/>
      <c r="Y235" s="1890"/>
      <c r="Z235" s="1890"/>
      <c r="AA235" s="1890"/>
      <c r="AB235" s="1890"/>
      <c r="AC235" s="1890"/>
      <c r="AD235" s="1890"/>
      <c r="AE235" s="1890"/>
      <c r="AF235" s="1890"/>
      <c r="AG235" s="1890"/>
      <c r="AH235" s="1890"/>
      <c r="AI235" s="1890"/>
      <c r="AJ235" s="1890"/>
      <c r="AK235" s="1890"/>
      <c r="AL235" s="1890"/>
      <c r="AM235" s="1890"/>
      <c r="AN235" s="1890"/>
      <c r="AO235" s="1890"/>
      <c r="AP235" s="1890"/>
      <c r="AQ235" s="1890"/>
      <c r="AR235" s="1890"/>
      <c r="AS235" s="1890"/>
      <c r="AT235" s="1890"/>
      <c r="AU235" s="1890"/>
      <c r="AV235" s="1890"/>
      <c r="AW235" s="1890"/>
      <c r="AX235" s="1890"/>
      <c r="AY235" s="1890"/>
      <c r="AZ235" s="1890"/>
      <c r="BA235" s="1189"/>
      <c r="BB235" s="1189"/>
      <c r="BC235" s="1189"/>
      <c r="BD235" s="1193"/>
      <c r="BE235" s="1193"/>
    </row>
    <row r="236" spans="1:57" ht="15.75" customHeight="1">
      <c r="A236" s="1189"/>
      <c r="B236" s="1188"/>
      <c r="C236" s="1189"/>
      <c r="D236" s="1189"/>
      <c r="E236" s="1189"/>
      <c r="F236" s="1189"/>
      <c r="G236" s="1189"/>
      <c r="H236" s="1189"/>
      <c r="I236" s="1189"/>
      <c r="J236" s="1189"/>
      <c r="K236" s="1189"/>
      <c r="L236" s="1189"/>
      <c r="M236" s="1189"/>
      <c r="N236" s="1189"/>
      <c r="O236" s="1189"/>
      <c r="P236" s="1189"/>
      <c r="Q236" s="1189"/>
      <c r="R236" s="1189"/>
      <c r="S236" s="1189"/>
      <c r="T236" s="1189"/>
      <c r="U236" s="1189"/>
      <c r="V236" s="1189"/>
      <c r="W236" s="1189"/>
      <c r="X236" s="1189"/>
      <c r="Y236" s="1189"/>
      <c r="Z236" s="1189"/>
      <c r="AA236" s="1189"/>
      <c r="AB236" s="1189"/>
      <c r="AC236" s="1189"/>
      <c r="AD236" s="1189"/>
      <c r="AE236" s="1189"/>
      <c r="AF236" s="1189"/>
      <c r="AG236" s="1189"/>
      <c r="AH236" s="1189"/>
      <c r="AI236" s="1189"/>
      <c r="AJ236" s="1189"/>
      <c r="AK236" s="1189"/>
      <c r="AL236" s="1189"/>
      <c r="AM236" s="1189"/>
      <c r="AN236" s="1189"/>
      <c r="AO236" s="1189"/>
      <c r="AP236" s="1189"/>
      <c r="AQ236" s="1189"/>
      <c r="AR236" s="1189"/>
      <c r="AS236" s="1189"/>
      <c r="AT236" s="1189"/>
      <c r="AU236" s="1189"/>
      <c r="AV236" s="1189"/>
      <c r="AW236" s="1189"/>
      <c r="AX236" s="1189"/>
      <c r="AY236" s="1189"/>
      <c r="AZ236" s="1189"/>
      <c r="BA236" s="1189"/>
      <c r="BB236" s="1189"/>
      <c r="BC236" s="1189"/>
      <c r="BD236" s="1193"/>
      <c r="BE236" s="1193"/>
    </row>
    <row r="237" spans="1:57" ht="15.75" customHeight="1" thickBot="1">
      <c r="A237" s="1189"/>
      <c r="B237" s="1234"/>
      <c r="C237" s="1235"/>
      <c r="D237" s="1235"/>
      <c r="E237" s="1235"/>
      <c r="F237" s="1235"/>
      <c r="G237" s="1235"/>
      <c r="H237" s="1891" t="s">
        <v>2286</v>
      </c>
      <c r="I237" s="1891"/>
      <c r="J237" s="1891"/>
      <c r="K237" s="1891"/>
      <c r="L237" s="1891"/>
      <c r="M237" s="1891"/>
      <c r="N237" s="1891"/>
      <c r="O237" s="1891"/>
      <c r="P237" s="1891"/>
      <c r="Q237" s="1891"/>
      <c r="R237" s="1891"/>
      <c r="S237" s="1891"/>
      <c r="T237" s="1891"/>
      <c r="U237" s="1891"/>
      <c r="V237" s="1891"/>
      <c r="W237" s="1891"/>
      <c r="X237" s="1891"/>
      <c r="Y237" s="1891"/>
      <c r="Z237" s="1891"/>
      <c r="AA237" s="1891"/>
      <c r="AB237" s="1891"/>
      <c r="AC237" s="1891"/>
      <c r="AD237" s="1891"/>
      <c r="AE237" s="1891"/>
      <c r="AF237" s="1891"/>
      <c r="AG237" s="1891"/>
      <c r="AH237" s="1891"/>
      <c r="AI237" s="1891"/>
      <c r="AJ237" s="1891"/>
      <c r="AK237" s="1891"/>
      <c r="AL237" s="1891"/>
      <c r="AM237" s="1891"/>
      <c r="AN237" s="1891"/>
      <c r="AO237" s="1891"/>
      <c r="AP237" s="1891"/>
      <c r="AQ237" s="1891"/>
      <c r="AR237" s="1891"/>
      <c r="AS237" s="1891"/>
      <c r="AT237" s="1891"/>
      <c r="AU237" s="1891"/>
      <c r="AV237" s="1891"/>
      <c r="AW237" s="1235"/>
      <c r="AX237" s="1235"/>
      <c r="AY237" s="1235"/>
      <c r="AZ237" s="1235"/>
      <c r="BA237" s="1235"/>
      <c r="BB237" s="1235"/>
      <c r="BC237" s="1235"/>
      <c r="BD237" s="1236"/>
      <c r="BE237" s="1193"/>
    </row>
    <row r="238" spans="1:57" ht="15.75" customHeight="1" thickBot="1">
      <c r="A238" s="1189"/>
      <c r="B238" s="1237"/>
      <c r="C238" s="1238"/>
      <c r="D238" s="1238"/>
      <c r="E238" s="1238"/>
      <c r="F238" s="1238"/>
      <c r="G238" s="1238"/>
      <c r="H238" s="1238"/>
      <c r="I238" s="1238"/>
      <c r="J238" s="1238"/>
      <c r="K238" s="1238"/>
      <c r="L238" s="1238"/>
      <c r="M238" s="1238"/>
      <c r="N238" s="1238"/>
      <c r="O238" s="1238"/>
      <c r="P238" s="1238"/>
      <c r="Q238" s="1238"/>
      <c r="R238" s="1238"/>
      <c r="S238" s="1238"/>
      <c r="T238" s="1238"/>
      <c r="U238" s="1238"/>
      <c r="V238" s="1238"/>
      <c r="W238" s="1238"/>
      <c r="X238" s="1238"/>
      <c r="Y238" s="1238"/>
      <c r="Z238" s="1238"/>
      <c r="AA238" s="1238"/>
      <c r="AB238" s="1238"/>
      <c r="AC238" s="1238"/>
      <c r="AD238" s="1238"/>
      <c r="AE238" s="1238"/>
      <c r="AF238" s="1238"/>
      <c r="AG238" s="1238"/>
      <c r="AH238" s="1238"/>
      <c r="AI238" s="1238"/>
      <c r="AJ238" s="1238"/>
      <c r="AK238" s="1238"/>
      <c r="AL238" s="1238"/>
      <c r="AM238" s="1238"/>
      <c r="AN238" s="1238"/>
      <c r="AO238" s="1238"/>
      <c r="AP238" s="1238"/>
      <c r="AQ238" s="1238"/>
      <c r="AR238" s="1238"/>
      <c r="AS238" s="1238"/>
      <c r="AT238" s="1238"/>
      <c r="AU238" s="1238"/>
      <c r="AV238" s="1238"/>
      <c r="AW238" s="1238"/>
      <c r="AX238" s="1238"/>
      <c r="AY238" s="1238"/>
      <c r="AZ238" s="1238"/>
      <c r="BA238" s="1238"/>
      <c r="BB238" s="1238"/>
      <c r="BC238" s="1238"/>
      <c r="BD238" s="1239"/>
      <c r="BE238" s="1193"/>
    </row>
    <row r="239" spans="1:57" ht="30" customHeight="1" thickBot="1">
      <c r="A239" s="1189"/>
      <c r="B239" s="1237"/>
      <c r="C239" s="1238"/>
      <c r="D239" s="1238"/>
      <c r="E239" s="1238"/>
      <c r="F239" s="1238"/>
      <c r="G239" s="1238"/>
      <c r="H239" s="1881" t="s">
        <v>2285</v>
      </c>
      <c r="I239" s="1881"/>
      <c r="J239" s="1881"/>
      <c r="K239" s="1881"/>
      <c r="L239" s="1238"/>
      <c r="M239" s="1238"/>
      <c r="N239" s="1238"/>
      <c r="O239" s="1238"/>
      <c r="P239" s="1238"/>
      <c r="Q239" s="1238"/>
      <c r="R239" s="1238"/>
      <c r="S239" s="1892"/>
      <c r="T239" s="1893"/>
      <c r="U239" s="1893"/>
      <c r="V239" s="1893"/>
      <c r="W239" s="1893"/>
      <c r="X239" s="1893"/>
      <c r="Y239" s="1893"/>
      <c r="Z239" s="1893"/>
      <c r="AA239" s="1893"/>
      <c r="AB239" s="1893"/>
      <c r="AC239" s="1893"/>
      <c r="AD239" s="1893"/>
      <c r="AE239" s="1893"/>
      <c r="AF239" s="1893"/>
      <c r="AG239" s="1893"/>
      <c r="AH239" s="1893"/>
      <c r="AI239" s="1893"/>
      <c r="AJ239" s="1894"/>
      <c r="AK239" s="1238"/>
      <c r="AL239" s="1238"/>
      <c r="AM239" s="1238"/>
      <c r="AN239" s="1238"/>
      <c r="AO239" s="1238"/>
      <c r="AP239" s="1238"/>
      <c r="AQ239" s="1238"/>
      <c r="AR239" s="1238"/>
      <c r="AS239" s="1238"/>
      <c r="AT239" s="1238"/>
      <c r="AU239" s="1238"/>
      <c r="AV239" s="1238"/>
      <c r="AW239" s="1238"/>
      <c r="AX239" s="1238"/>
      <c r="AY239" s="1238"/>
      <c r="AZ239" s="1238"/>
      <c r="BA239" s="1238"/>
      <c r="BB239" s="1238"/>
      <c r="BC239" s="1238"/>
      <c r="BD239" s="1239"/>
      <c r="BE239" s="1193"/>
    </row>
    <row r="240" spans="1:57" ht="15.75" customHeight="1" thickBot="1">
      <c r="A240" s="1189"/>
      <c r="B240" s="1237"/>
      <c r="C240" s="1238"/>
      <c r="D240" s="1238"/>
      <c r="E240" s="1238"/>
      <c r="F240" s="1238"/>
      <c r="G240" s="1238"/>
      <c r="H240" s="1240"/>
      <c r="I240" s="1240"/>
      <c r="J240" s="1240"/>
      <c r="K240" s="1240"/>
      <c r="L240" s="1238"/>
      <c r="M240" s="1238"/>
      <c r="N240" s="1238"/>
      <c r="O240" s="1238"/>
      <c r="P240" s="1238"/>
      <c r="Q240" s="1238"/>
      <c r="R240" s="1238"/>
      <c r="S240" s="1238"/>
      <c r="T240" s="1238"/>
      <c r="U240" s="1238"/>
      <c r="V240" s="1238"/>
      <c r="W240" s="1238"/>
      <c r="X240" s="1238"/>
      <c r="Y240" s="1238"/>
      <c r="Z240" s="1238"/>
      <c r="AA240" s="1238"/>
      <c r="AB240" s="1238"/>
      <c r="AC240" s="1238"/>
      <c r="AD240" s="1238"/>
      <c r="AE240" s="1238"/>
      <c r="AF240" s="1238"/>
      <c r="AG240" s="1238"/>
      <c r="AH240" s="1238"/>
      <c r="AI240" s="1238"/>
      <c r="AJ240" s="1238"/>
      <c r="AK240" s="1238"/>
      <c r="AL240" s="1238"/>
      <c r="AM240" s="1238"/>
      <c r="AN240" s="1238"/>
      <c r="AO240" s="1238"/>
      <c r="AP240" s="1238"/>
      <c r="AQ240" s="1238"/>
      <c r="AR240" s="1238"/>
      <c r="AS240" s="1238"/>
      <c r="AT240" s="1238"/>
      <c r="AU240" s="1238"/>
      <c r="AV240" s="1238"/>
      <c r="AW240" s="1238"/>
      <c r="AX240" s="1238"/>
      <c r="AY240" s="1238"/>
      <c r="AZ240" s="1238"/>
      <c r="BA240" s="1238"/>
      <c r="BB240" s="1238"/>
      <c r="BC240" s="1238"/>
      <c r="BD240" s="1239"/>
      <c r="BE240" s="1193"/>
    </row>
    <row r="241" spans="1:57" ht="15.75" customHeight="1" thickBot="1">
      <c r="A241" s="1189"/>
      <c r="B241" s="1237"/>
      <c r="C241" s="1238"/>
      <c r="D241" s="1238"/>
      <c r="E241" s="1238"/>
      <c r="F241" s="1238"/>
      <c r="G241" s="1238"/>
      <c r="H241" s="1881" t="s">
        <v>2284</v>
      </c>
      <c r="I241" s="1881"/>
      <c r="J241" s="1881"/>
      <c r="K241" s="1240"/>
      <c r="L241" s="1238"/>
      <c r="M241" s="1238"/>
      <c r="N241" s="1238"/>
      <c r="O241" s="1238"/>
      <c r="P241" s="1238"/>
      <c r="Q241" s="1238"/>
      <c r="R241" s="1238"/>
      <c r="S241" s="1882"/>
      <c r="T241" s="1883"/>
      <c r="U241" s="1883"/>
      <c r="V241" s="1883"/>
      <c r="W241" s="1883"/>
      <c r="X241" s="1883"/>
      <c r="Y241" s="1883"/>
      <c r="Z241" s="1883"/>
      <c r="AA241" s="1883"/>
      <c r="AB241" s="1883"/>
      <c r="AC241" s="1883"/>
      <c r="AD241" s="1883"/>
      <c r="AE241" s="1883"/>
      <c r="AF241" s="1883"/>
      <c r="AG241" s="1883"/>
      <c r="AH241" s="1883"/>
      <c r="AI241" s="1883"/>
      <c r="AJ241" s="1884"/>
      <c r="AK241" s="1238"/>
      <c r="AL241" s="1238"/>
      <c r="AM241" s="1238"/>
      <c r="AN241" s="1238"/>
      <c r="AO241" s="1238"/>
      <c r="AP241" s="1238"/>
      <c r="AQ241" s="1238"/>
      <c r="AR241" s="1238"/>
      <c r="AS241" s="1238"/>
      <c r="AT241" s="1238"/>
      <c r="AU241" s="1238"/>
      <c r="AV241" s="1238"/>
      <c r="AW241" s="1238"/>
      <c r="AX241" s="1238"/>
      <c r="AY241" s="1238"/>
      <c r="AZ241" s="1238"/>
      <c r="BA241" s="1238"/>
      <c r="BB241" s="1238"/>
      <c r="BC241" s="1238"/>
      <c r="BD241" s="1239"/>
      <c r="BE241" s="1193"/>
    </row>
    <row r="242" spans="1:57" ht="15.75" customHeight="1" thickBot="1">
      <c r="A242" s="1189"/>
      <c r="B242" s="1237"/>
      <c r="C242" s="1238"/>
      <c r="D242" s="1238"/>
      <c r="E242" s="1238"/>
      <c r="F242" s="1238"/>
      <c r="G242" s="1238"/>
      <c r="H242" s="1240"/>
      <c r="I242" s="1240"/>
      <c r="J242" s="1240"/>
      <c r="K242" s="1240"/>
      <c r="L242" s="1238"/>
      <c r="M242" s="1238"/>
      <c r="N242" s="1238"/>
      <c r="O242" s="1238"/>
      <c r="P242" s="1238"/>
      <c r="Q242" s="1238"/>
      <c r="R242" s="1238"/>
      <c r="S242" s="1238"/>
      <c r="T242" s="1238"/>
      <c r="U242" s="1238"/>
      <c r="V242" s="1238"/>
      <c r="W242" s="1238"/>
      <c r="X242" s="1238"/>
      <c r="Y242" s="1238"/>
      <c r="Z242" s="1238"/>
      <c r="AA242" s="1238"/>
      <c r="AB242" s="1238"/>
      <c r="AC242" s="1238"/>
      <c r="AD242" s="1238"/>
      <c r="AE242" s="1238"/>
      <c r="AF242" s="1238"/>
      <c r="AG242" s="1238"/>
      <c r="AH242" s="1238"/>
      <c r="AI242" s="1238"/>
      <c r="AJ242" s="1238"/>
      <c r="AK242" s="1238"/>
      <c r="AL242" s="1238"/>
      <c r="AM242" s="1238"/>
      <c r="AN242" s="1238"/>
      <c r="AO242" s="1238"/>
      <c r="AP242" s="1238"/>
      <c r="AQ242" s="1238"/>
      <c r="AR242" s="1238"/>
      <c r="AS242" s="1238"/>
      <c r="AT242" s="1238"/>
      <c r="AU242" s="1238"/>
      <c r="AV242" s="1238"/>
      <c r="AW242" s="1238"/>
      <c r="AX242" s="1238"/>
      <c r="AY242" s="1238"/>
      <c r="AZ242" s="1238"/>
      <c r="BA242" s="1238"/>
      <c r="BB242" s="1238"/>
      <c r="BC242" s="1238"/>
      <c r="BD242" s="1239"/>
      <c r="BE242" s="1193"/>
    </row>
    <row r="243" spans="1:57" ht="15.75" customHeight="1" thickBot="1">
      <c r="A243" s="1189"/>
      <c r="B243" s="1237"/>
      <c r="C243" s="1238"/>
      <c r="D243" s="1238"/>
      <c r="E243" s="1238"/>
      <c r="F243" s="1238"/>
      <c r="G243" s="1238"/>
      <c r="H243" s="1881" t="s">
        <v>441</v>
      </c>
      <c r="I243" s="1881"/>
      <c r="J243" s="1240"/>
      <c r="K243" s="1240"/>
      <c r="L243" s="1238"/>
      <c r="M243" s="1238"/>
      <c r="N243" s="1238"/>
      <c r="O243" s="1238"/>
      <c r="P243" s="1238"/>
      <c r="Q243" s="1238"/>
      <c r="R243" s="1238"/>
      <c r="S243" s="1882"/>
      <c r="T243" s="1883"/>
      <c r="U243" s="1883"/>
      <c r="V243" s="1883"/>
      <c r="W243" s="1883"/>
      <c r="X243" s="1883"/>
      <c r="Y243" s="1883"/>
      <c r="Z243" s="1883"/>
      <c r="AA243" s="1883"/>
      <c r="AB243" s="1883"/>
      <c r="AC243" s="1883"/>
      <c r="AD243" s="1883"/>
      <c r="AE243" s="1883"/>
      <c r="AF243" s="1883"/>
      <c r="AG243" s="1883"/>
      <c r="AH243" s="1883"/>
      <c r="AI243" s="1883"/>
      <c r="AJ243" s="1884"/>
      <c r="AK243" s="1238"/>
      <c r="AL243" s="1238"/>
      <c r="AM243" s="1238"/>
      <c r="AN243" s="1238"/>
      <c r="AO243" s="1238"/>
      <c r="AP243" s="1238"/>
      <c r="AQ243" s="1238"/>
      <c r="AR243" s="1238"/>
      <c r="AS243" s="1238"/>
      <c r="AT243" s="1238"/>
      <c r="AU243" s="1238"/>
      <c r="AV243" s="1238"/>
      <c r="AW243" s="1238"/>
      <c r="AX243" s="1238"/>
      <c r="AY243" s="1238"/>
      <c r="AZ243" s="1238"/>
      <c r="BA243" s="1238"/>
      <c r="BB243" s="1238"/>
      <c r="BC243" s="1238"/>
      <c r="BD243" s="1239"/>
      <c r="BE243" s="1193"/>
    </row>
    <row r="244" spans="1:57" ht="15.75" customHeight="1" thickBot="1">
      <c r="A244" s="1189"/>
      <c r="B244" s="1237"/>
      <c r="C244" s="1238"/>
      <c r="D244" s="1238"/>
      <c r="E244" s="1238"/>
      <c r="F244" s="1238"/>
      <c r="G244" s="1238"/>
      <c r="H244" s="1238"/>
      <c r="I244" s="1238"/>
      <c r="J244" s="1238"/>
      <c r="K244" s="1238"/>
      <c r="L244" s="1238"/>
      <c r="M244" s="1238"/>
      <c r="N244" s="1238"/>
      <c r="O244" s="1238"/>
      <c r="P244" s="1238"/>
      <c r="Q244" s="1238"/>
      <c r="R244" s="1238"/>
      <c r="S244" s="1238"/>
      <c r="T244" s="1238"/>
      <c r="U244" s="1238"/>
      <c r="V244" s="1238"/>
      <c r="W244" s="1238"/>
      <c r="X244" s="1238"/>
      <c r="Y244" s="1238"/>
      <c r="Z244" s="1238"/>
      <c r="AA244" s="1238"/>
      <c r="AB244" s="1238"/>
      <c r="AC244" s="1238"/>
      <c r="AD244" s="1238"/>
      <c r="AE244" s="1238"/>
      <c r="AF244" s="1238"/>
      <c r="AG244" s="1238"/>
      <c r="AH244" s="1238"/>
      <c r="AI244" s="1238"/>
      <c r="AJ244" s="1238"/>
      <c r="AK244" s="1238"/>
      <c r="AL244" s="1238"/>
      <c r="AM244" s="1238"/>
      <c r="AN244" s="1238"/>
      <c r="AO244" s="1238"/>
      <c r="AP244" s="1238"/>
      <c r="AQ244" s="1238"/>
      <c r="AR244" s="1238"/>
      <c r="AS244" s="1238"/>
      <c r="AT244" s="1238"/>
      <c r="AU244" s="1238"/>
      <c r="AV244" s="1238"/>
      <c r="AW244" s="1238"/>
      <c r="AX244" s="1238"/>
      <c r="AY244" s="1238"/>
      <c r="AZ244" s="1238"/>
      <c r="BA244" s="1238"/>
      <c r="BB244" s="1238"/>
      <c r="BC244" s="1238"/>
      <c r="BD244" s="1239"/>
      <c r="BE244" s="1193"/>
    </row>
    <row r="245" spans="1:57" ht="15.75" customHeight="1" thickBot="1">
      <c r="A245" s="1189"/>
      <c r="B245" s="1237"/>
      <c r="C245" s="1238"/>
      <c r="D245" s="1238"/>
      <c r="E245" s="1238"/>
      <c r="F245" s="1238"/>
      <c r="G245" s="1238"/>
      <c r="H245" s="1885" t="s">
        <v>2283</v>
      </c>
      <c r="I245" s="1885"/>
      <c r="J245" s="1885"/>
      <c r="K245" s="1885"/>
      <c r="L245" s="1885"/>
      <c r="M245" s="1885"/>
      <c r="N245" s="1885"/>
      <c r="O245" s="1885"/>
      <c r="P245" s="1238"/>
      <c r="Q245" s="1238"/>
      <c r="R245" s="1238"/>
      <c r="S245" s="1882"/>
      <c r="T245" s="1883"/>
      <c r="U245" s="1883"/>
      <c r="V245" s="1883"/>
      <c r="W245" s="1883"/>
      <c r="X245" s="1883"/>
      <c r="Y245" s="1883"/>
      <c r="Z245" s="1883"/>
      <c r="AA245" s="1883"/>
      <c r="AB245" s="1883"/>
      <c r="AC245" s="1883"/>
      <c r="AD245" s="1883"/>
      <c r="AE245" s="1883"/>
      <c r="AF245" s="1883"/>
      <c r="AG245" s="1883"/>
      <c r="AH245" s="1883"/>
      <c r="AI245" s="1883"/>
      <c r="AJ245" s="1884"/>
      <c r="AK245" s="1238"/>
      <c r="AL245" s="1238"/>
      <c r="AM245" s="1238"/>
      <c r="AN245" s="1238"/>
      <c r="AO245" s="1238"/>
      <c r="AP245" s="1238"/>
      <c r="AQ245" s="1238"/>
      <c r="AR245" s="1238"/>
      <c r="AS245" s="1238"/>
      <c r="AT245" s="1238"/>
      <c r="AU245" s="1238"/>
      <c r="AV245" s="1238"/>
      <c r="AW245" s="1238"/>
      <c r="AX245" s="1238"/>
      <c r="AY245" s="1238"/>
      <c r="AZ245" s="1238"/>
      <c r="BA245" s="1238"/>
      <c r="BB245" s="1238"/>
      <c r="BC245" s="1238"/>
      <c r="BD245" s="1239"/>
      <c r="BE245" s="1193"/>
    </row>
    <row r="246" spans="1:57" ht="15.75" customHeight="1" thickBot="1">
      <c r="A246" s="1189"/>
      <c r="B246" s="1237"/>
      <c r="C246" s="1238"/>
      <c r="D246" s="1238"/>
      <c r="E246" s="1238"/>
      <c r="F246" s="1238"/>
      <c r="G246" s="1238"/>
      <c r="H246" s="1238"/>
      <c r="I246" s="1238"/>
      <c r="J246" s="1238"/>
      <c r="K246" s="1238"/>
      <c r="L246" s="1238"/>
      <c r="M246" s="1238"/>
      <c r="N246" s="1238"/>
      <c r="O246" s="1238"/>
      <c r="P246" s="1238"/>
      <c r="Q246" s="1238"/>
      <c r="R246" s="1238"/>
      <c r="S246" s="1238"/>
      <c r="T246" s="1238"/>
      <c r="U246" s="1238"/>
      <c r="V246" s="1238"/>
      <c r="W246" s="1238"/>
      <c r="X246" s="1238"/>
      <c r="Y246" s="1238"/>
      <c r="Z246" s="1238"/>
      <c r="AA246" s="1238"/>
      <c r="AB246" s="1238"/>
      <c r="AC246" s="1238"/>
      <c r="AD246" s="1238"/>
      <c r="AE246" s="1238"/>
      <c r="AF246" s="1238"/>
      <c r="AG246" s="1238"/>
      <c r="AH246" s="1238"/>
      <c r="AI246" s="1238"/>
      <c r="AJ246" s="1238"/>
      <c r="AK246" s="1238"/>
      <c r="AL246" s="1238"/>
      <c r="AM246" s="1238"/>
      <c r="AN246" s="1238"/>
      <c r="AO246" s="1238"/>
      <c r="AP246" s="1238"/>
      <c r="AQ246" s="1238"/>
      <c r="AR246" s="1238"/>
      <c r="AS246" s="1238"/>
      <c r="AT246" s="1238"/>
      <c r="AU246" s="1238"/>
      <c r="AV246" s="1238"/>
      <c r="AW246" s="1238"/>
      <c r="AX246" s="1238"/>
      <c r="AY246" s="1238"/>
      <c r="AZ246" s="1238"/>
      <c r="BA246" s="1238"/>
      <c r="BB246" s="1238"/>
      <c r="BC246" s="1238"/>
      <c r="BD246" s="1239"/>
      <c r="BE246" s="1193"/>
    </row>
    <row r="247" spans="1:57" ht="15.75" customHeight="1" thickBot="1">
      <c r="A247" s="1189"/>
      <c r="B247" s="1237"/>
      <c r="C247" s="1238"/>
      <c r="D247" s="1238"/>
      <c r="E247" s="1238"/>
      <c r="F247" s="1238"/>
      <c r="G247" s="1238"/>
      <c r="H247" s="1886" t="s">
        <v>2282</v>
      </c>
      <c r="I247" s="1886"/>
      <c r="J247" s="1238"/>
      <c r="K247" s="1238"/>
      <c r="L247" s="1238"/>
      <c r="M247" s="1238"/>
      <c r="N247" s="1238"/>
      <c r="O247" s="1238"/>
      <c r="P247" s="1238"/>
      <c r="Q247" s="1238"/>
      <c r="R247" s="1238"/>
      <c r="S247" s="1887"/>
      <c r="T247" s="1888"/>
      <c r="U247" s="1888"/>
      <c r="V247" s="1888"/>
      <c r="W247" s="1888"/>
      <c r="X247" s="1888"/>
      <c r="Y247" s="1888"/>
      <c r="Z247" s="1888"/>
      <c r="AA247" s="1888"/>
      <c r="AB247" s="1888"/>
      <c r="AC247" s="1888"/>
      <c r="AD247" s="1888"/>
      <c r="AE247" s="1888"/>
      <c r="AF247" s="1888"/>
      <c r="AG247" s="1888"/>
      <c r="AH247" s="1888"/>
      <c r="AI247" s="1888"/>
      <c r="AJ247" s="1889"/>
      <c r="AK247" s="1238"/>
      <c r="AL247" s="1238"/>
      <c r="AM247" s="1238"/>
      <c r="AN247" s="1238"/>
      <c r="AO247" s="1238"/>
      <c r="AP247" s="1238"/>
      <c r="AQ247" s="1238"/>
      <c r="AR247" s="1238"/>
      <c r="AS247" s="1238"/>
      <c r="AT247" s="1238"/>
      <c r="AU247" s="1238"/>
      <c r="AV247" s="1238"/>
      <c r="AW247" s="1238"/>
      <c r="AX247" s="1238"/>
      <c r="AY247" s="1238"/>
      <c r="AZ247" s="1238"/>
      <c r="BA247" s="1238"/>
      <c r="BB247" s="1238"/>
      <c r="BC247" s="1238"/>
      <c r="BD247" s="1239"/>
      <c r="BE247" s="1193"/>
    </row>
    <row r="248" spans="1:57" ht="15.75" customHeight="1" thickBot="1">
      <c r="A248" s="1189"/>
      <c r="B248" s="1241"/>
      <c r="C248" s="1242"/>
      <c r="D248" s="1242"/>
      <c r="E248" s="1242"/>
      <c r="F248" s="1242"/>
      <c r="G248" s="1242"/>
      <c r="H248" s="1242"/>
      <c r="I248" s="1242"/>
      <c r="J248" s="1242"/>
      <c r="K248" s="1242"/>
      <c r="L248" s="1242"/>
      <c r="M248" s="1242"/>
      <c r="N248" s="1242"/>
      <c r="O248" s="1242"/>
      <c r="P248" s="1242"/>
      <c r="Q248" s="1242"/>
      <c r="R248" s="1242"/>
      <c r="S248" s="1242"/>
      <c r="T248" s="1242"/>
      <c r="U248" s="1242"/>
      <c r="V248" s="1242"/>
      <c r="W248" s="1242"/>
      <c r="X248" s="1242"/>
      <c r="Y248" s="1242"/>
      <c r="Z248" s="1242"/>
      <c r="AA248" s="1242"/>
      <c r="AB248" s="1242"/>
      <c r="AC248" s="1242"/>
      <c r="AD248" s="1242"/>
      <c r="AE248" s="1242"/>
      <c r="AF248" s="1242"/>
      <c r="AG248" s="1242"/>
      <c r="AH248" s="1242"/>
      <c r="AI248" s="1242"/>
      <c r="AJ248" s="1242"/>
      <c r="AK248" s="1242"/>
      <c r="AL248" s="1242"/>
      <c r="AM248" s="1242"/>
      <c r="AN248" s="1242"/>
      <c r="AO248" s="1242"/>
      <c r="AP248" s="1242"/>
      <c r="AQ248" s="1242"/>
      <c r="AR248" s="1242"/>
      <c r="AS248" s="1242"/>
      <c r="AT248" s="1242"/>
      <c r="AU248" s="1242"/>
      <c r="AV248" s="1242"/>
      <c r="AW248" s="1242"/>
      <c r="AX248" s="1242"/>
      <c r="AY248" s="1242"/>
      <c r="AZ248" s="1242"/>
      <c r="BA248" s="1242"/>
      <c r="BB248" s="1242"/>
      <c r="BC248" s="1242"/>
      <c r="BD248" s="1243"/>
      <c r="BE248" s="1193"/>
    </row>
    <row r="249" spans="1:57" ht="15.75" customHeight="1" thickBot="1">
      <c r="A249" s="1235"/>
      <c r="B249" s="1235"/>
      <c r="C249" s="1235"/>
      <c r="D249" s="1235"/>
      <c r="E249" s="1235"/>
      <c r="F249" s="1235"/>
      <c r="G249" s="1235"/>
      <c r="H249" s="1235"/>
      <c r="I249" s="1235"/>
      <c r="J249" s="1235"/>
      <c r="K249" s="1235"/>
      <c r="L249" s="1235"/>
      <c r="M249" s="1235"/>
      <c r="N249" s="1235"/>
      <c r="O249" s="1235"/>
      <c r="P249" s="1235"/>
      <c r="Q249" s="1235"/>
      <c r="R249" s="1235"/>
      <c r="S249" s="1235"/>
      <c r="T249" s="1235"/>
      <c r="U249" s="1235"/>
      <c r="V249" s="1235"/>
      <c r="W249" s="1235"/>
      <c r="X249" s="1235"/>
      <c r="Y249" s="1235"/>
      <c r="Z249" s="1235"/>
      <c r="AA249" s="1235"/>
      <c r="AB249" s="1235"/>
      <c r="AC249" s="1235"/>
      <c r="AD249" s="1235"/>
      <c r="AE249" s="1235"/>
      <c r="AF249" s="1235"/>
      <c r="AG249" s="1235"/>
      <c r="AH249" s="1235"/>
      <c r="AI249" s="1235"/>
      <c r="AJ249" s="1235"/>
      <c r="AK249" s="1235"/>
      <c r="AL249" s="1235"/>
      <c r="AM249" s="1235"/>
      <c r="AN249" s="1235"/>
      <c r="AO249" s="1235"/>
      <c r="AP249" s="1235"/>
      <c r="AQ249" s="1235"/>
      <c r="AR249" s="1235"/>
      <c r="AS249" s="1235"/>
      <c r="AT249" s="1235"/>
      <c r="AU249" s="1235"/>
      <c r="AV249" s="1235"/>
      <c r="AW249" s="1235"/>
      <c r="AX249" s="1235"/>
      <c r="AY249" s="1235"/>
      <c r="AZ249" s="1235"/>
      <c r="BA249" s="1235"/>
      <c r="BB249" s="1235"/>
      <c r="BC249" s="1235"/>
      <c r="BD249" s="1235"/>
      <c r="BE249" s="1236"/>
    </row>
    <row r="252" spans="1:57" ht="15.75" customHeight="1">
      <c r="D252" s="1187"/>
    </row>
    <row r="253" spans="1:57" ht="15.75" customHeight="1">
      <c r="D253" s="1244"/>
    </row>
    <row r="254" spans="1:57" ht="15.75" customHeight="1">
      <c r="D254" s="1187"/>
    </row>
    <row r="255" spans="1:57" ht="15.75" customHeight="1">
      <c r="D255" s="1187"/>
    </row>
    <row r="256" spans="1:57" ht="15.75" customHeight="1">
      <c r="R256" s="1186"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1"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5" workbookViewId="0">
      <selection activeCell="AB57" sqref="AB57:AF57"/>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9" t="s">
        <v>1279</v>
      </c>
      <c r="B1" s="2379"/>
      <c r="C1" s="2379"/>
      <c r="D1" s="2379"/>
      <c r="E1" s="2379"/>
      <c r="F1" s="2379"/>
      <c r="G1" s="2379"/>
      <c r="H1" s="2379"/>
      <c r="I1" s="2379"/>
      <c r="J1" s="2379"/>
      <c r="K1" s="2379"/>
      <c r="L1" s="2379"/>
      <c r="M1" s="2379"/>
      <c r="N1" s="2379"/>
      <c r="O1" s="2379"/>
      <c r="P1" s="2379"/>
      <c r="Q1" s="2379"/>
      <c r="R1" s="2379"/>
      <c r="S1" s="2379"/>
      <c r="T1" s="2379"/>
      <c r="U1" s="2379"/>
      <c r="V1" s="2379"/>
      <c r="W1" s="2379"/>
      <c r="X1" s="2379"/>
      <c r="Y1" s="2379"/>
      <c r="Z1" s="2379"/>
      <c r="AA1" s="2379"/>
      <c r="AB1" s="2379"/>
      <c r="AC1" s="2379"/>
      <c r="AD1" s="2379"/>
      <c r="AE1" s="2379"/>
      <c r="AF1" s="2379"/>
      <c r="AG1" s="2379"/>
      <c r="AH1" s="2379"/>
      <c r="AI1" s="2379"/>
      <c r="AJ1" s="2379"/>
      <c r="AK1" s="2379"/>
      <c r="AL1" s="2379"/>
      <c r="AM1" s="2379"/>
      <c r="AN1" s="2379"/>
    </row>
    <row r="2" spans="1:40" ht="12.95" customHeight="1" thickBot="1">
      <c r="A2" s="2380"/>
      <c r="B2" s="2380"/>
      <c r="C2" s="2380"/>
      <c r="D2" s="2380"/>
      <c r="E2" s="2380"/>
      <c r="F2" s="2380"/>
      <c r="G2" s="2380"/>
      <c r="H2" s="2380"/>
      <c r="I2" s="2380"/>
      <c r="J2" s="2380"/>
      <c r="K2" s="2380"/>
      <c r="L2" s="2380"/>
      <c r="M2" s="2380"/>
      <c r="N2" s="2380"/>
      <c r="O2" s="2380"/>
      <c r="P2" s="2380"/>
      <c r="Q2" s="2380"/>
      <c r="R2" s="2380"/>
      <c r="S2" s="2380"/>
      <c r="T2" s="2380"/>
      <c r="U2" s="2380"/>
      <c r="V2" s="2380"/>
      <c r="W2" s="2380"/>
      <c r="X2" s="2380"/>
      <c r="Y2" s="2380"/>
      <c r="Z2" s="2380"/>
      <c r="AA2" s="2380"/>
      <c r="AB2" s="2380"/>
      <c r="AC2" s="2380"/>
      <c r="AD2" s="2380"/>
      <c r="AE2" s="2380"/>
      <c r="AF2" s="2380"/>
      <c r="AG2" s="2380"/>
      <c r="AH2" s="2380"/>
      <c r="AI2" s="2380"/>
      <c r="AJ2" s="2380"/>
      <c r="AK2" s="2380"/>
      <c r="AL2" s="2380"/>
      <c r="AM2" s="2380"/>
      <c r="AN2" s="2380"/>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1237</v>
      </c>
    </row>
    <row r="7" spans="1:40" ht="12.95" customHeight="1">
      <c r="B7" s="405"/>
      <c r="C7" s="406"/>
      <c r="D7" s="406"/>
      <c r="E7" s="406"/>
      <c r="F7" s="406"/>
      <c r="G7" s="406"/>
      <c r="H7" s="406"/>
      <c r="I7" s="406"/>
      <c r="J7" s="406"/>
      <c r="K7" s="406"/>
      <c r="L7" s="406"/>
      <c r="M7" s="406"/>
      <c r="N7" s="406"/>
      <c r="O7" s="406"/>
      <c r="P7" s="406"/>
      <c r="Q7" s="406"/>
      <c r="R7" s="406"/>
      <c r="S7" s="406"/>
      <c r="T7" s="2359" t="str">
        <f xml:space="preserve"> IF(T25=100%,'Sources and Basis Breakdown'!G2,'Sources and Basis Breakdown'!F2)</f>
        <v>30% PVC for New Const/
Rehabilitation
DDA/QCT
Building(s)</v>
      </c>
      <c r="U7" s="2359"/>
      <c r="V7" s="2359"/>
      <c r="W7" s="2359"/>
      <c r="X7" s="2359"/>
      <c r="Y7" s="2359" t="str">
        <f>IF(T25=100%,"",'Sources and Basis Breakdown'!G2)</f>
        <v>30% PVC for New Const/
Rehabilitation
NON-DDA/
NON-QCT Building(s)</v>
      </c>
      <c r="Z7" s="2359"/>
      <c r="AA7" s="2359"/>
      <c r="AB7" s="2359"/>
      <c r="AC7" s="2359"/>
      <c r="AD7" s="2359" t="str">
        <f xml:space="preserve"> IF(T25=100%, 'Sources and Basis Breakdown'!J2,'Sources and Basis Breakdown'!I2)</f>
        <v>30% PVC for Acquisition
DDA/QCT Building(s)</v>
      </c>
      <c r="AE7" s="2359"/>
      <c r="AF7" s="2359"/>
      <c r="AG7" s="2359"/>
      <c r="AH7" s="2359"/>
      <c r="AI7" s="2359" t="str">
        <f>IF(T25=100%,"",'Sources and Basis Breakdown'!J2)</f>
        <v>30% PVC for Acquisition
NON-DDA/
NON-QCT Building(s)</v>
      </c>
      <c r="AJ7" s="2359"/>
      <c r="AK7" s="2359"/>
      <c r="AL7" s="2359"/>
      <c r="AM7" s="2359"/>
    </row>
    <row r="8" spans="1:40" ht="12.95" customHeight="1">
      <c r="B8" s="407"/>
      <c r="T8" s="2359"/>
      <c r="U8" s="2359"/>
      <c r="V8" s="2359"/>
      <c r="W8" s="2359"/>
      <c r="X8" s="2359"/>
      <c r="Y8" s="2359"/>
      <c r="Z8" s="2359"/>
      <c r="AA8" s="2359"/>
      <c r="AB8" s="2359"/>
      <c r="AC8" s="2359"/>
      <c r="AD8" s="2359"/>
      <c r="AE8" s="2359"/>
      <c r="AF8" s="2359"/>
      <c r="AG8" s="2359"/>
      <c r="AH8" s="2359"/>
      <c r="AI8" s="2359"/>
      <c r="AJ8" s="2359"/>
      <c r="AK8" s="2359"/>
      <c r="AL8" s="2359"/>
      <c r="AM8" s="2359"/>
    </row>
    <row r="9" spans="1:40" ht="12.95" customHeight="1">
      <c r="B9" s="407"/>
      <c r="T9" s="2359"/>
      <c r="U9" s="2359"/>
      <c r="V9" s="2359"/>
      <c r="W9" s="2359"/>
      <c r="X9" s="2359"/>
      <c r="Y9" s="2359"/>
      <c r="Z9" s="2359"/>
      <c r="AA9" s="2359"/>
      <c r="AB9" s="2359"/>
      <c r="AC9" s="2359"/>
      <c r="AD9" s="2359"/>
      <c r="AE9" s="2359"/>
      <c r="AF9" s="2359"/>
      <c r="AG9" s="2359"/>
      <c r="AH9" s="2359"/>
      <c r="AI9" s="2359"/>
      <c r="AJ9" s="2359"/>
      <c r="AK9" s="2359"/>
      <c r="AL9" s="2359"/>
      <c r="AM9" s="2359"/>
    </row>
    <row r="10" spans="1:40" ht="12.95" customHeight="1">
      <c r="B10" s="408"/>
      <c r="C10" s="409"/>
      <c r="D10" s="409"/>
      <c r="E10" s="409"/>
      <c r="F10" s="409"/>
      <c r="G10" s="409"/>
      <c r="H10" s="409"/>
      <c r="I10" s="409"/>
      <c r="J10" s="409"/>
      <c r="K10" s="409"/>
      <c r="L10" s="409"/>
      <c r="M10" s="409"/>
      <c r="N10" s="409"/>
      <c r="O10" s="409"/>
      <c r="P10" s="409"/>
      <c r="Q10" s="409"/>
      <c r="R10" s="409"/>
      <c r="S10" s="409"/>
      <c r="T10" s="2359"/>
      <c r="U10" s="2359"/>
      <c r="V10" s="2359"/>
      <c r="W10" s="2359"/>
      <c r="X10" s="2359"/>
      <c r="Y10" s="2359"/>
      <c r="Z10" s="2359"/>
      <c r="AA10" s="2359"/>
      <c r="AB10" s="2359"/>
      <c r="AC10" s="2359"/>
      <c r="AD10" s="2359"/>
      <c r="AE10" s="2359"/>
      <c r="AF10" s="2359"/>
      <c r="AG10" s="2359"/>
      <c r="AH10" s="2359"/>
      <c r="AI10" s="2359"/>
      <c r="AJ10" s="2359"/>
      <c r="AK10" s="2359"/>
      <c r="AL10" s="2359"/>
      <c r="AM10" s="2359"/>
    </row>
    <row r="11" spans="1:40" ht="12.95" customHeight="1">
      <c r="B11" s="2345" t="s">
        <v>375</v>
      </c>
      <c r="C11" s="2346"/>
      <c r="D11" s="2346"/>
      <c r="E11" s="2346"/>
      <c r="F11" s="2346"/>
      <c r="G11" s="2346"/>
      <c r="H11" s="2346"/>
      <c r="I11" s="2346"/>
      <c r="J11" s="2346"/>
      <c r="K11" s="2346"/>
      <c r="L11" s="2346"/>
      <c r="M11" s="2346"/>
      <c r="N11" s="2346"/>
      <c r="O11" s="2346"/>
      <c r="P11" s="2346"/>
      <c r="Q11" s="2346"/>
      <c r="R11" s="2346"/>
      <c r="S11" s="2347"/>
      <c r="T11" s="2381">
        <f>IF('Sources and Basis Breakdown'!F107=0,'Sources and Basis Breakdown'!E107,'Sources and Basis Breakdown'!F107)</f>
        <v>113886128</v>
      </c>
      <c r="U11" s="2382"/>
      <c r="V11" s="2382"/>
      <c r="W11" s="2382"/>
      <c r="X11" s="2382"/>
      <c r="Y11" s="2381">
        <f>IF(Y7="",0,IF('Sources and Basis Breakdown'!G107+'Sources and Basis Breakdown'!F107='Sources and Basis Breakdown'!E107,'Sources and Basis Breakdown'!G107,0))</f>
        <v>0</v>
      </c>
      <c r="Z11" s="2382"/>
      <c r="AA11" s="2382"/>
      <c r="AB11" s="2382"/>
      <c r="AC11" s="2382"/>
      <c r="AD11" s="2382">
        <f>IF('Sources and Basis Breakdown'!I107=0,'Sources and Basis Breakdown'!H107,'Sources and Basis Breakdown'!I107)</f>
        <v>0</v>
      </c>
      <c r="AE11" s="2382"/>
      <c r="AF11" s="2382"/>
      <c r="AG11" s="2382"/>
      <c r="AH11" s="2382"/>
      <c r="AI11" s="2382">
        <f>IF(Y7="",0,IF('Sources and Basis Breakdown'!I107+'Sources and Basis Breakdown'!J107='Sources and Basis Breakdown'!H107,'Sources and Basis Breakdown'!J107,0))</f>
        <v>0</v>
      </c>
      <c r="AJ11" s="2382"/>
      <c r="AK11" s="2382"/>
      <c r="AL11" s="2382"/>
      <c r="AM11" s="2382"/>
    </row>
    <row r="12" spans="1:40" ht="12.95" customHeight="1">
      <c r="B12" s="2383" t="s">
        <v>497</v>
      </c>
      <c r="C12" s="1307"/>
      <c r="D12" s="1307"/>
      <c r="E12" s="1307"/>
      <c r="F12" s="1307"/>
      <c r="G12" s="1307"/>
      <c r="H12" s="1307"/>
      <c r="I12" s="1307"/>
      <c r="J12" s="1307"/>
      <c r="K12" s="1307"/>
      <c r="L12" s="1307"/>
      <c r="M12" s="1307"/>
      <c r="N12" s="1307"/>
      <c r="O12" s="1307"/>
      <c r="P12" s="1307"/>
      <c r="Q12" s="1307"/>
      <c r="R12" s="1307"/>
      <c r="S12" s="2384"/>
      <c r="T12" s="2374"/>
      <c r="U12" s="2375"/>
      <c r="V12" s="2375"/>
      <c r="W12" s="2375"/>
      <c r="X12" s="2376"/>
      <c r="Y12" s="2374"/>
      <c r="Z12" s="2375"/>
      <c r="AA12" s="2375"/>
      <c r="AB12" s="2375"/>
      <c r="AC12" s="2376"/>
      <c r="AD12" s="2374"/>
      <c r="AE12" s="2375"/>
      <c r="AF12" s="2375"/>
      <c r="AG12" s="2375"/>
      <c r="AH12" s="2376"/>
      <c r="AI12" s="2374"/>
      <c r="AJ12" s="2375"/>
      <c r="AK12" s="2375"/>
      <c r="AL12" s="2375"/>
      <c r="AM12" s="2376"/>
    </row>
    <row r="13" spans="1:40" ht="12.95" customHeight="1">
      <c r="B13" s="435"/>
      <c r="C13" s="2385" t="s">
        <v>498</v>
      </c>
      <c r="D13" s="2385"/>
      <c r="E13" s="2385"/>
      <c r="F13" s="2385"/>
      <c r="G13" s="2385"/>
      <c r="H13" s="2385"/>
      <c r="I13" s="2385"/>
      <c r="J13" s="2385"/>
      <c r="K13" s="2385"/>
      <c r="L13" s="2385"/>
      <c r="M13" s="2385"/>
      <c r="N13" s="2385"/>
      <c r="O13" s="2385"/>
      <c r="P13" s="2385"/>
      <c r="Q13" s="2385"/>
      <c r="R13" s="2385"/>
      <c r="S13" s="2386"/>
      <c r="T13" s="2377"/>
      <c r="U13" s="2378"/>
      <c r="V13" s="2378"/>
      <c r="W13" s="2378"/>
      <c r="X13" s="2378"/>
      <c r="Y13" s="2377"/>
      <c r="Z13" s="2378"/>
      <c r="AA13" s="2378"/>
      <c r="AB13" s="2378"/>
      <c r="AC13" s="2378"/>
      <c r="AD13" s="2378"/>
      <c r="AE13" s="2378"/>
      <c r="AF13" s="2378"/>
      <c r="AG13" s="2378"/>
      <c r="AH13" s="2378"/>
      <c r="AI13" s="2378"/>
      <c r="AJ13" s="2378"/>
      <c r="AK13" s="2378"/>
      <c r="AL13" s="2378"/>
      <c r="AM13" s="2378"/>
    </row>
    <row r="14" spans="1:40" ht="12.95" customHeight="1">
      <c r="B14" s="435"/>
      <c r="C14" s="2385" t="s">
        <v>499</v>
      </c>
      <c r="D14" s="2385"/>
      <c r="E14" s="2385"/>
      <c r="F14" s="2385"/>
      <c r="G14" s="2385"/>
      <c r="H14" s="2385"/>
      <c r="I14" s="2385"/>
      <c r="J14" s="2385"/>
      <c r="K14" s="2385"/>
      <c r="L14" s="2385"/>
      <c r="M14" s="2385"/>
      <c r="N14" s="2385"/>
      <c r="O14" s="2385"/>
      <c r="P14" s="2385"/>
      <c r="Q14" s="2385"/>
      <c r="R14" s="2385"/>
      <c r="S14" s="2386"/>
      <c r="T14" s="2367"/>
      <c r="U14" s="2368"/>
      <c r="V14" s="2368"/>
      <c r="W14" s="2368"/>
      <c r="X14" s="2368"/>
      <c r="Y14" s="2367"/>
      <c r="Z14" s="2368"/>
      <c r="AA14" s="2368"/>
      <c r="AB14" s="2368"/>
      <c r="AC14" s="2368"/>
      <c r="AD14" s="2368"/>
      <c r="AE14" s="2368"/>
      <c r="AF14" s="2368"/>
      <c r="AG14" s="2368"/>
      <c r="AH14" s="2368"/>
      <c r="AI14" s="2368"/>
      <c r="AJ14" s="2368"/>
      <c r="AK14" s="2368"/>
      <c r="AL14" s="2368"/>
      <c r="AM14" s="2368"/>
    </row>
    <row r="15" spans="1:40" ht="12.95" customHeight="1">
      <c r="B15" s="435"/>
      <c r="C15" s="2385" t="s">
        <v>500</v>
      </c>
      <c r="D15" s="2385"/>
      <c r="E15" s="2385"/>
      <c r="F15" s="2385"/>
      <c r="G15" s="2385"/>
      <c r="H15" s="2385"/>
      <c r="I15" s="2385"/>
      <c r="J15" s="2385"/>
      <c r="K15" s="2385"/>
      <c r="L15" s="2385"/>
      <c r="M15" s="2385"/>
      <c r="N15" s="2385"/>
      <c r="O15" s="2385"/>
      <c r="P15" s="2385"/>
      <c r="Q15" s="2385"/>
      <c r="R15" s="2385"/>
      <c r="S15" s="2386"/>
      <c r="T15" s="2367"/>
      <c r="U15" s="2368"/>
      <c r="V15" s="2368"/>
      <c r="W15" s="2368"/>
      <c r="X15" s="2368"/>
      <c r="Y15" s="2367"/>
      <c r="Z15" s="2368"/>
      <c r="AA15" s="2368"/>
      <c r="AB15" s="2368"/>
      <c r="AC15" s="2368"/>
      <c r="AD15" s="2368"/>
      <c r="AE15" s="2368"/>
      <c r="AF15" s="2368"/>
      <c r="AG15" s="2368"/>
      <c r="AH15" s="2368"/>
      <c r="AI15" s="2368"/>
      <c r="AJ15" s="2368"/>
      <c r="AK15" s="2368"/>
      <c r="AL15" s="2368"/>
      <c r="AM15" s="2368"/>
    </row>
    <row r="16" spans="1:40" ht="12.95" customHeight="1">
      <c r="B16" s="435"/>
      <c r="C16" s="2385" t="s">
        <v>805</v>
      </c>
      <c r="D16" s="2385"/>
      <c r="E16" s="2385"/>
      <c r="F16" s="2385"/>
      <c r="G16" s="2385"/>
      <c r="H16" s="2385"/>
      <c r="I16" s="2385"/>
      <c r="J16" s="2385"/>
      <c r="K16" s="2385"/>
      <c r="L16" s="2385"/>
      <c r="M16" s="2385"/>
      <c r="N16" s="2385"/>
      <c r="O16" s="2385"/>
      <c r="P16" s="2385"/>
      <c r="Q16" s="2385"/>
      <c r="R16" s="2385"/>
      <c r="S16" s="2386"/>
      <c r="T16" s="2367"/>
      <c r="U16" s="2368"/>
      <c r="V16" s="2368"/>
      <c r="W16" s="2368"/>
      <c r="X16" s="2368"/>
      <c r="Y16" s="2367"/>
      <c r="Z16" s="2368"/>
      <c r="AA16" s="2368"/>
      <c r="AB16" s="2368"/>
      <c r="AC16" s="2368"/>
      <c r="AD16" s="2368"/>
      <c r="AE16" s="2368"/>
      <c r="AF16" s="2368"/>
      <c r="AG16" s="2368"/>
      <c r="AH16" s="2368"/>
      <c r="AI16" s="2368"/>
      <c r="AJ16" s="2368"/>
      <c r="AK16" s="2368"/>
      <c r="AL16" s="2368"/>
      <c r="AM16" s="2368"/>
    </row>
    <row r="17" spans="1:40" ht="12.95" customHeight="1">
      <c r="B17" s="435"/>
      <c r="C17" s="2385" t="s">
        <v>501</v>
      </c>
      <c r="D17" s="2385"/>
      <c r="E17" s="2385"/>
      <c r="F17" s="2385"/>
      <c r="G17" s="2385"/>
      <c r="H17" s="2385"/>
      <c r="I17" s="2385"/>
      <c r="J17" s="2385"/>
      <c r="K17" s="2385"/>
      <c r="L17" s="2385"/>
      <c r="M17" s="2385"/>
      <c r="N17" s="2385"/>
      <c r="O17" s="2385"/>
      <c r="P17" s="2385"/>
      <c r="Q17" s="2385"/>
      <c r="R17" s="2385"/>
      <c r="S17" s="2386"/>
      <c r="T17" s="2367"/>
      <c r="U17" s="2368"/>
      <c r="V17" s="2368"/>
      <c r="W17" s="2368"/>
      <c r="X17" s="2368"/>
      <c r="Y17" s="2367"/>
      <c r="Z17" s="2368"/>
      <c r="AA17" s="2368"/>
      <c r="AB17" s="2368"/>
      <c r="AC17" s="2368"/>
      <c r="AD17" s="2368"/>
      <c r="AE17" s="2368"/>
      <c r="AF17" s="2368"/>
      <c r="AG17" s="2368"/>
      <c r="AH17" s="2368"/>
      <c r="AI17" s="2368"/>
      <c r="AJ17" s="2368"/>
      <c r="AK17" s="2368"/>
      <c r="AL17" s="2368"/>
      <c r="AM17" s="2368"/>
    </row>
    <row r="18" spans="1:40" ht="12.95" customHeight="1">
      <c r="A18"/>
      <c r="B18" s="1149"/>
      <c r="C18" s="1630" t="s">
        <v>959</v>
      </c>
      <c r="D18" s="1630"/>
      <c r="E18" s="1630"/>
      <c r="F18" s="1630"/>
      <c r="G18" s="1630"/>
      <c r="H18" s="1630"/>
      <c r="I18" s="1630"/>
      <c r="J18" s="1630"/>
      <c r="K18" s="1630"/>
      <c r="L18" s="1630"/>
      <c r="M18" s="1630"/>
      <c r="N18" s="1630"/>
      <c r="O18" s="1630"/>
      <c r="P18" s="1630"/>
      <c r="Q18" s="1630"/>
      <c r="R18" s="1630"/>
      <c r="S18" s="1631"/>
      <c r="T18" s="2367"/>
      <c r="U18" s="2368"/>
      <c r="V18" s="2368"/>
      <c r="W18" s="2368"/>
      <c r="X18" s="2368"/>
      <c r="Y18" s="2367"/>
      <c r="Z18" s="2368"/>
      <c r="AA18" s="2368"/>
      <c r="AB18" s="2368"/>
      <c r="AC18" s="2368"/>
      <c r="AD18" s="2368"/>
      <c r="AE18" s="2368"/>
      <c r="AF18" s="2368"/>
      <c r="AG18" s="2368"/>
      <c r="AH18" s="2368"/>
      <c r="AI18" s="2368"/>
      <c r="AJ18" s="2368"/>
      <c r="AK18" s="2368"/>
      <c r="AL18" s="2368"/>
      <c r="AM18" s="2368"/>
    </row>
    <row r="19" spans="1:40" ht="12.95" customHeight="1">
      <c r="B19" s="1149"/>
      <c r="C19" s="1630" t="s">
        <v>959</v>
      </c>
      <c r="D19" s="1630"/>
      <c r="E19" s="1630"/>
      <c r="F19" s="1630"/>
      <c r="G19" s="1630"/>
      <c r="H19" s="1630"/>
      <c r="I19" s="1630"/>
      <c r="J19" s="1630"/>
      <c r="K19" s="1630"/>
      <c r="L19" s="1630"/>
      <c r="M19" s="1630"/>
      <c r="N19" s="1630"/>
      <c r="O19" s="1630"/>
      <c r="P19" s="1630"/>
      <c r="Q19" s="1630"/>
      <c r="R19" s="1630"/>
      <c r="S19" s="1631"/>
      <c r="T19" s="2367"/>
      <c r="U19" s="2368"/>
      <c r="V19" s="2368"/>
      <c r="W19" s="2368"/>
      <c r="X19" s="2368"/>
      <c r="Y19" s="2367"/>
      <c r="Z19" s="2368"/>
      <c r="AA19" s="2368"/>
      <c r="AB19" s="2368"/>
      <c r="AC19" s="2368"/>
      <c r="AD19" s="2368"/>
      <c r="AE19" s="2368"/>
      <c r="AF19" s="2368"/>
      <c r="AG19" s="2368"/>
      <c r="AH19" s="2368"/>
      <c r="AI19" s="2368"/>
      <c r="AJ19" s="2368"/>
      <c r="AK19" s="2368"/>
      <c r="AL19" s="2368"/>
      <c r="AM19" s="2368"/>
    </row>
    <row r="20" spans="1:40" ht="12.95" customHeight="1">
      <c r="B20" s="2345" t="s">
        <v>502</v>
      </c>
      <c r="C20" s="2346"/>
      <c r="D20" s="2346"/>
      <c r="E20" s="2346"/>
      <c r="F20" s="2346"/>
      <c r="G20" s="2346"/>
      <c r="H20" s="2346"/>
      <c r="I20" s="2346"/>
      <c r="J20" s="2346"/>
      <c r="K20" s="2346"/>
      <c r="L20" s="2346"/>
      <c r="M20" s="2346"/>
      <c r="N20" s="2346"/>
      <c r="O20" s="2346"/>
      <c r="P20" s="2346"/>
      <c r="Q20" s="2346"/>
      <c r="R20" s="2346"/>
      <c r="S20" s="2347"/>
      <c r="T20" s="2358">
        <f>SUM(T13:X19)</f>
        <v>0</v>
      </c>
      <c r="U20" s="2339"/>
      <c r="V20" s="2339"/>
      <c r="W20" s="2339"/>
      <c r="X20" s="2339"/>
      <c r="Y20" s="2358">
        <f>SUM(Y13:AC19)</f>
        <v>0</v>
      </c>
      <c r="Z20" s="2339"/>
      <c r="AA20" s="2339"/>
      <c r="AB20" s="2339"/>
      <c r="AC20" s="2339"/>
      <c r="AD20" s="2349">
        <f>SUM(AD13:AH19)</f>
        <v>0</v>
      </c>
      <c r="AE20" s="2357"/>
      <c r="AF20" s="2357"/>
      <c r="AG20" s="2357"/>
      <c r="AH20" s="2358"/>
      <c r="AI20" s="2349">
        <f>SUM(AI13:AM19)</f>
        <v>0</v>
      </c>
      <c r="AJ20" s="2357"/>
      <c r="AK20" s="2357"/>
      <c r="AL20" s="2357"/>
      <c r="AM20" s="2358"/>
    </row>
    <row r="21" spans="1:40" ht="12.95" customHeight="1">
      <c r="B21" s="2345" t="s">
        <v>1262</v>
      </c>
      <c r="C21" s="2346"/>
      <c r="D21" s="2346"/>
      <c r="E21" s="2346"/>
      <c r="F21" s="2346"/>
      <c r="G21" s="2346"/>
      <c r="H21" s="2346"/>
      <c r="I21" s="2346"/>
      <c r="J21" s="2346"/>
      <c r="K21" s="2346"/>
      <c r="L21" s="2346"/>
      <c r="M21" s="2346"/>
      <c r="N21" s="2346"/>
      <c r="O21" s="2346"/>
      <c r="P21" s="2346"/>
      <c r="Q21" s="2346"/>
      <c r="R21" s="2346"/>
      <c r="S21" s="2347"/>
      <c r="T21" s="2367"/>
      <c r="U21" s="2368"/>
      <c r="V21" s="2368"/>
      <c r="W21" s="2368"/>
      <c r="X21" s="2368"/>
      <c r="Y21" s="2367"/>
      <c r="Z21" s="2368"/>
      <c r="AA21" s="2368"/>
      <c r="AB21" s="2368"/>
      <c r="AC21" s="2368"/>
      <c r="AD21" s="2374"/>
      <c r="AE21" s="2375"/>
      <c r="AF21" s="2375"/>
      <c r="AG21" s="2375"/>
      <c r="AH21" s="2376"/>
      <c r="AI21" s="2374"/>
      <c r="AJ21" s="2375"/>
      <c r="AK21" s="2375"/>
      <c r="AL21" s="2375"/>
      <c r="AM21" s="2376"/>
    </row>
    <row r="22" spans="1:40" ht="12.95" customHeight="1">
      <c r="B22" s="2345" t="s">
        <v>503</v>
      </c>
      <c r="C22" s="2346"/>
      <c r="D22" s="2346"/>
      <c r="E22" s="2346"/>
      <c r="F22" s="2346"/>
      <c r="G22" s="2346"/>
      <c r="H22" s="2346"/>
      <c r="I22" s="2346"/>
      <c r="J22" s="2346"/>
      <c r="K22" s="2346"/>
      <c r="L22" s="2346"/>
      <c r="M22" s="2346"/>
      <c r="N22" s="2346"/>
      <c r="O22" s="2346"/>
      <c r="P22" s="2346"/>
      <c r="Q22" s="2346"/>
      <c r="R22" s="2346"/>
      <c r="S22" s="2347"/>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2.95" customHeight="1">
      <c r="B23" s="2345" t="s">
        <v>504</v>
      </c>
      <c r="C23" s="2346"/>
      <c r="D23" s="2346"/>
      <c r="E23" s="2346"/>
      <c r="F23" s="2346"/>
      <c r="G23" s="2346"/>
      <c r="H23" s="2346"/>
      <c r="I23" s="2346"/>
      <c r="J23" s="2346"/>
      <c r="K23" s="2346"/>
      <c r="L23" s="2346"/>
      <c r="M23" s="2346"/>
      <c r="N23" s="2346"/>
      <c r="O23" s="2346"/>
      <c r="P23" s="2346"/>
      <c r="Q23" s="2346"/>
      <c r="R23" s="2346"/>
      <c r="S23" s="2347"/>
      <c r="T23" s="2358">
        <f>T11+T22</f>
        <v>113886128</v>
      </c>
      <c r="U23" s="2339"/>
      <c r="V23" s="2339"/>
      <c r="W23" s="2339"/>
      <c r="X23" s="2339"/>
      <c r="Y23" s="2358">
        <f>Y11+Y22</f>
        <v>0</v>
      </c>
      <c r="Z23" s="2339"/>
      <c r="AA23" s="2339"/>
      <c r="AB23" s="2339"/>
      <c r="AC23" s="2339"/>
      <c r="AD23" s="2358">
        <f>AD11+AD22</f>
        <v>0</v>
      </c>
      <c r="AE23" s="2339"/>
      <c r="AF23" s="2339"/>
      <c r="AG23" s="2339"/>
      <c r="AH23" s="2339"/>
      <c r="AI23" s="2358">
        <f>AI11+AI22</f>
        <v>0</v>
      </c>
      <c r="AJ23" s="2339"/>
      <c r="AK23" s="2339"/>
      <c r="AL23" s="2339"/>
      <c r="AM23" s="2339"/>
    </row>
    <row r="24" spans="1:40" ht="12.95" customHeight="1">
      <c r="B24" s="2345" t="s">
        <v>960</v>
      </c>
      <c r="C24" s="2346"/>
      <c r="D24" s="2346"/>
      <c r="E24" s="2346"/>
      <c r="F24" s="2346"/>
      <c r="G24" s="2346"/>
      <c r="H24" s="2346"/>
      <c r="I24" s="2346"/>
      <c r="J24" s="2346"/>
      <c r="K24" s="2346"/>
      <c r="L24" s="2346"/>
      <c r="M24" s="2346"/>
      <c r="N24" s="2346"/>
      <c r="O24" s="2346"/>
      <c r="P24" s="2346"/>
      <c r="Q24" s="2346"/>
      <c r="R24" s="2346"/>
      <c r="S24" s="2347"/>
      <c r="T24" s="2349">
        <f>Application!AJ1053</f>
        <v>321939504.75</v>
      </c>
      <c r="U24" s="2357"/>
      <c r="V24" s="2357"/>
      <c r="W24" s="2357"/>
      <c r="X24" s="2357"/>
      <c r="Y24" s="2357"/>
      <c r="Z24" s="2357"/>
      <c r="AA24" s="2357"/>
      <c r="AB24" s="2357"/>
      <c r="AC24" s="2357"/>
      <c r="AD24" s="2357"/>
      <c r="AE24" s="2357"/>
      <c r="AF24" s="2357"/>
      <c r="AG24" s="2357"/>
      <c r="AH24" s="2357"/>
      <c r="AI24" s="2357"/>
      <c r="AJ24" s="2357"/>
      <c r="AK24" s="2357"/>
      <c r="AL24" s="2357"/>
      <c r="AM24" s="2358"/>
    </row>
    <row r="25" spans="1:40" ht="12.95" customHeight="1">
      <c r="B25" s="2389" t="s">
        <v>1263</v>
      </c>
      <c r="C25" s="2390"/>
      <c r="D25" s="2390"/>
      <c r="E25" s="2390"/>
      <c r="F25" s="2390"/>
      <c r="G25" s="2390"/>
      <c r="H25" s="2390"/>
      <c r="I25" s="2390"/>
      <c r="J25" s="2390"/>
      <c r="K25" s="2390"/>
      <c r="L25" s="2390"/>
      <c r="M25" s="2390"/>
      <c r="N25" s="2390"/>
      <c r="O25" s="2390"/>
      <c r="P25" s="2390"/>
      <c r="Q25" s="2390"/>
      <c r="R25" s="2390"/>
      <c r="S25" s="2391"/>
      <c r="T25" s="2371">
        <f>IF(OR(Application!T196="yes",Application!T195="yes"),1.3,1)</f>
        <v>1.3</v>
      </c>
      <c r="U25" s="2372"/>
      <c r="V25" s="2372"/>
      <c r="W25" s="2372"/>
      <c r="X25" s="2372"/>
      <c r="Y25" s="2371">
        <v>1</v>
      </c>
      <c r="Z25" s="2372"/>
      <c r="AA25" s="2372"/>
      <c r="AB25" s="2372"/>
      <c r="AC25" s="2372"/>
      <c r="AD25" s="2371">
        <v>1</v>
      </c>
      <c r="AE25" s="2372"/>
      <c r="AF25" s="2372"/>
      <c r="AG25" s="2372"/>
      <c r="AH25" s="2373"/>
      <c r="AI25" s="2371">
        <v>1</v>
      </c>
      <c r="AJ25" s="2372"/>
      <c r="AK25" s="2372"/>
      <c r="AL25" s="2372"/>
      <c r="AM25" s="2373"/>
    </row>
    <row r="26" spans="1:40" ht="12.95" customHeight="1">
      <c r="B26" s="2345" t="s">
        <v>505</v>
      </c>
      <c r="C26" s="2346"/>
      <c r="D26" s="2346"/>
      <c r="E26" s="2346"/>
      <c r="F26" s="2346"/>
      <c r="G26" s="2346"/>
      <c r="H26" s="2346"/>
      <c r="I26" s="2346"/>
      <c r="J26" s="2346"/>
      <c r="K26" s="2346"/>
      <c r="L26" s="2346"/>
      <c r="M26" s="2346"/>
      <c r="N26" s="2346"/>
      <c r="O26" s="2346"/>
      <c r="P26" s="2346"/>
      <c r="Q26" s="2346"/>
      <c r="R26" s="2346"/>
      <c r="S26" s="2347"/>
      <c r="T26" s="2358">
        <f>T23*T25</f>
        <v>148051966.40000001</v>
      </c>
      <c r="U26" s="2339"/>
      <c r="V26" s="2339"/>
      <c r="W26" s="2339"/>
      <c r="X26" s="2339"/>
      <c r="Y26" s="2358">
        <f>Y23*Y25</f>
        <v>0</v>
      </c>
      <c r="Z26" s="2339"/>
      <c r="AA26" s="2339"/>
      <c r="AB26" s="2339"/>
      <c r="AC26" s="2339"/>
      <c r="AD26" s="2358">
        <f>AD23*AD25</f>
        <v>0</v>
      </c>
      <c r="AE26" s="2339"/>
      <c r="AF26" s="2339"/>
      <c r="AG26" s="2339"/>
      <c r="AH26" s="2339"/>
      <c r="AI26" s="2358">
        <f>AI23*AI25</f>
        <v>0</v>
      </c>
      <c r="AJ26" s="2339"/>
      <c r="AK26" s="2339"/>
      <c r="AL26" s="2339"/>
      <c r="AM26" s="2339"/>
    </row>
    <row r="27" spans="1:40" ht="12.95" customHeight="1">
      <c r="A27" s="410"/>
      <c r="B27" s="2392" t="s">
        <v>426</v>
      </c>
      <c r="C27" s="2393"/>
      <c r="D27" s="2393"/>
      <c r="E27" s="2393"/>
      <c r="F27" s="2393"/>
      <c r="G27" s="2393"/>
      <c r="H27" s="2393"/>
      <c r="I27" s="2393"/>
      <c r="J27" s="2393"/>
      <c r="K27" s="2393"/>
      <c r="L27" s="2393"/>
      <c r="M27" s="2393"/>
      <c r="N27" s="2393"/>
      <c r="O27" s="2393"/>
      <c r="P27" s="2393"/>
      <c r="Q27" s="2393"/>
      <c r="R27" s="2393"/>
      <c r="S27" s="2394"/>
      <c r="T27" s="2369">
        <f>Application!$AG$445</f>
        <v>1</v>
      </c>
      <c r="U27" s="2370"/>
      <c r="V27" s="2370"/>
      <c r="W27" s="2370"/>
      <c r="X27" s="2370"/>
      <c r="Y27" s="2369">
        <f>Application!$AG$445</f>
        <v>1</v>
      </c>
      <c r="Z27" s="2370"/>
      <c r="AA27" s="2370"/>
      <c r="AB27" s="2370"/>
      <c r="AC27" s="2370"/>
      <c r="AD27" s="2369">
        <f>Application!$AG$445</f>
        <v>1</v>
      </c>
      <c r="AE27" s="2370"/>
      <c r="AF27" s="2370"/>
      <c r="AG27" s="2370"/>
      <c r="AH27" s="2370"/>
      <c r="AI27" s="2369">
        <f>Application!$AG$445</f>
        <v>1</v>
      </c>
      <c r="AJ27" s="2370"/>
      <c r="AK27" s="2370"/>
      <c r="AL27" s="2370"/>
      <c r="AM27" s="2370"/>
    </row>
    <row r="28" spans="1:40" ht="12.95" customHeight="1">
      <c r="A28" s="404"/>
      <c r="B28" s="2345" t="s">
        <v>506</v>
      </c>
      <c r="C28" s="2346"/>
      <c r="D28" s="2346"/>
      <c r="E28" s="2346"/>
      <c r="F28" s="2346"/>
      <c r="G28" s="2346"/>
      <c r="H28" s="2346"/>
      <c r="I28" s="2346"/>
      <c r="J28" s="2346"/>
      <c r="K28" s="2346"/>
      <c r="L28" s="2346"/>
      <c r="M28" s="2346"/>
      <c r="N28" s="2346"/>
      <c r="O28" s="2346"/>
      <c r="P28" s="2346"/>
      <c r="Q28" s="2346"/>
      <c r="R28" s="2346"/>
      <c r="S28" s="2347"/>
      <c r="T28" s="2358">
        <f>IF(ISERROR((T26*T27)),0,(T26*T27))</f>
        <v>148051966.40000001</v>
      </c>
      <c r="U28" s="2339"/>
      <c r="V28" s="2339"/>
      <c r="W28" s="2339"/>
      <c r="X28" s="2339"/>
      <c r="Y28" s="2358">
        <f>IF(ISERROR((Y26*Y27)),0,(Y26*Y27))</f>
        <v>0</v>
      </c>
      <c r="Z28" s="2339"/>
      <c r="AA28" s="2339"/>
      <c r="AB28" s="2339"/>
      <c r="AC28" s="2339"/>
      <c r="AD28" s="2358">
        <f>IF(ISERROR((AD26*AD27)),0,(AD26*AD27))</f>
        <v>0</v>
      </c>
      <c r="AE28" s="2339"/>
      <c r="AF28" s="2339"/>
      <c r="AG28" s="2339"/>
      <c r="AH28" s="2339"/>
      <c r="AI28" s="2358">
        <f>IF(ISERROR((AI26*AI27)),0,(AI26*AI27))</f>
        <v>0</v>
      </c>
      <c r="AJ28" s="2339"/>
      <c r="AK28" s="2339"/>
      <c r="AL28" s="2339"/>
      <c r="AM28" s="2339"/>
    </row>
    <row r="29" spans="1:40" ht="12.95" customHeight="1">
      <c r="B29" s="2345" t="s">
        <v>523</v>
      </c>
      <c r="C29" s="2346"/>
      <c r="D29" s="2346"/>
      <c r="E29" s="2346"/>
      <c r="F29" s="2346"/>
      <c r="G29" s="2346"/>
      <c r="H29" s="2346"/>
      <c r="I29" s="2346"/>
      <c r="J29" s="2346"/>
      <c r="K29" s="2346"/>
      <c r="L29" s="2346"/>
      <c r="M29" s="2346"/>
      <c r="N29" s="2346"/>
      <c r="O29" s="2346"/>
      <c r="P29" s="2346"/>
      <c r="Q29" s="2346"/>
      <c r="R29" s="2346"/>
      <c r="S29" s="2347"/>
      <c r="T29" s="2349">
        <f>T28+Y28+AD28+AI28</f>
        <v>148051966.40000001</v>
      </c>
      <c r="U29" s="2357"/>
      <c r="V29" s="2357"/>
      <c r="W29" s="2357"/>
      <c r="X29" s="2357"/>
      <c r="Y29" s="2357"/>
      <c r="Z29" s="2357"/>
      <c r="AA29" s="2357"/>
      <c r="AB29" s="2357"/>
      <c r="AC29" s="2357"/>
      <c r="AD29" s="2357"/>
      <c r="AE29" s="2357"/>
      <c r="AF29" s="2357"/>
      <c r="AG29" s="2357"/>
      <c r="AH29" s="2357"/>
      <c r="AI29" s="2357"/>
      <c r="AJ29" s="2357"/>
      <c r="AK29" s="2357"/>
      <c r="AL29" s="2357"/>
      <c r="AM29" s="2358"/>
    </row>
    <row r="30" spans="1:40" ht="12.95" customHeight="1">
      <c r="B30" s="2362" t="s">
        <v>1265</v>
      </c>
      <c r="C30" s="2362"/>
      <c r="D30" s="2362"/>
      <c r="E30" s="2362"/>
      <c r="F30" s="2362"/>
      <c r="G30" s="2362"/>
      <c r="H30" s="2362"/>
      <c r="I30" s="2362"/>
      <c r="J30" s="2362"/>
      <c r="K30" s="2362"/>
      <c r="L30" s="2362"/>
      <c r="M30" s="2362"/>
      <c r="N30" s="2362"/>
      <c r="O30" s="2362"/>
      <c r="P30" s="2362"/>
      <c r="Q30" s="2362"/>
      <c r="R30" s="2362"/>
      <c r="S30" s="2362"/>
      <c r="T30" s="2362"/>
      <c r="U30" s="2362"/>
      <c r="V30" s="2362"/>
      <c r="W30" s="2362"/>
      <c r="X30" s="2362"/>
      <c r="Y30" s="2362"/>
      <c r="Z30" s="2362"/>
      <c r="AA30" s="2362"/>
      <c r="AB30" s="2362"/>
      <c r="AC30" s="2362"/>
      <c r="AD30" s="2362"/>
      <c r="AE30" s="2362"/>
      <c r="AF30" s="2362"/>
      <c r="AG30" s="2362"/>
      <c r="AH30" s="2362"/>
      <c r="AI30" s="2362"/>
      <c r="AJ30" s="2362"/>
      <c r="AK30" s="2362"/>
      <c r="AL30" s="2362"/>
      <c r="AM30" s="2362"/>
    </row>
    <row r="31" spans="1:40" ht="12.95" customHeight="1">
      <c r="B31" s="2362" t="s">
        <v>1264</v>
      </c>
      <c r="C31" s="2362"/>
      <c r="D31" s="2362"/>
      <c r="E31" s="2362"/>
      <c r="F31" s="2362"/>
      <c r="G31" s="2362"/>
      <c r="H31" s="2362"/>
      <c r="I31" s="2362"/>
      <c r="J31" s="2362"/>
      <c r="K31" s="2362"/>
      <c r="L31" s="2362"/>
      <c r="M31" s="2362"/>
      <c r="N31" s="2362"/>
      <c r="O31" s="2362"/>
      <c r="P31" s="2362"/>
      <c r="Q31" s="2362"/>
      <c r="R31" s="2362"/>
      <c r="S31" s="2362"/>
      <c r="T31" s="2362"/>
      <c r="U31" s="2362"/>
      <c r="V31" s="2362"/>
      <c r="W31" s="2362"/>
      <c r="X31" s="2362"/>
      <c r="Y31" s="2362"/>
      <c r="Z31" s="2362"/>
      <c r="AA31" s="2362"/>
      <c r="AB31" s="2362"/>
      <c r="AC31" s="2362"/>
      <c r="AD31" s="2362"/>
      <c r="AE31" s="2362"/>
      <c r="AF31" s="2362"/>
      <c r="AG31" s="2362"/>
      <c r="AH31" s="2362"/>
      <c r="AI31" s="2362"/>
      <c r="AJ31" s="2362"/>
      <c r="AK31" s="2362"/>
      <c r="AL31" s="2362"/>
      <c r="AM31" s="2362"/>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9" t="s">
        <v>1153</v>
      </c>
      <c r="Z35" s="2359"/>
      <c r="AA35" s="2359"/>
      <c r="AB35" s="2359"/>
      <c r="AC35" s="2359"/>
      <c r="AD35" s="2360" t="s">
        <v>369</v>
      </c>
      <c r="AE35" s="2360"/>
      <c r="AF35" s="2360"/>
      <c r="AG35" s="2360"/>
      <c r="AH35" s="2360"/>
    </row>
    <row r="36" spans="1:76" ht="12.95" customHeight="1">
      <c r="B36" s="407"/>
      <c r="X36" s="412"/>
      <c r="Y36" s="2359"/>
      <c r="Z36" s="2359"/>
      <c r="AA36" s="2359"/>
      <c r="AB36" s="2359"/>
      <c r="AC36" s="2359"/>
      <c r="AD36" s="2360"/>
      <c r="AE36" s="2360"/>
      <c r="AF36" s="2360"/>
      <c r="AG36" s="2360"/>
      <c r="AH36" s="2360"/>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9"/>
      <c r="Z37" s="2359"/>
      <c r="AA37" s="2359"/>
      <c r="AB37" s="2359"/>
      <c r="AC37" s="2359"/>
      <c r="AD37" s="2360"/>
      <c r="AE37" s="2360"/>
      <c r="AF37" s="2360"/>
      <c r="AG37" s="2360"/>
      <c r="AH37" s="2360"/>
    </row>
    <row r="38" spans="1:76" ht="12.95" customHeight="1">
      <c r="A38" s="404"/>
      <c r="B38" s="2345" t="s">
        <v>506</v>
      </c>
      <c r="C38" s="2346"/>
      <c r="D38" s="2346"/>
      <c r="E38" s="2346"/>
      <c r="F38" s="2346"/>
      <c r="G38" s="2346"/>
      <c r="H38" s="2346"/>
      <c r="I38" s="2346"/>
      <c r="J38" s="2346"/>
      <c r="K38" s="2346"/>
      <c r="L38" s="2346"/>
      <c r="M38" s="2346"/>
      <c r="N38" s="2346"/>
      <c r="O38" s="2346"/>
      <c r="P38" s="2346"/>
      <c r="Q38" s="2346"/>
      <c r="R38" s="2346"/>
      <c r="S38" s="2346"/>
      <c r="T38" s="2346"/>
      <c r="U38" s="2346"/>
      <c r="V38" s="2346"/>
      <c r="W38" s="2346"/>
      <c r="X38" s="2347"/>
      <c r="Y38" s="2339">
        <f>IF(T24&gt;=(T23+Y23+AD23+AI23),T28+Y28,0)</f>
        <v>148051966.40000001</v>
      </c>
      <c r="Z38" s="2339"/>
      <c r="AA38" s="2339"/>
      <c r="AB38" s="2339"/>
      <c r="AC38" s="2339"/>
      <c r="AD38" s="2339">
        <f>IF(T24&gt;=(T23+Y23+AD23+AI23),AD28+AI28,0)</f>
        <v>0</v>
      </c>
      <c r="AE38" s="2339"/>
      <c r="AF38" s="2339"/>
      <c r="AG38" s="2339"/>
      <c r="AH38" s="2339"/>
    </row>
    <row r="39" spans="1:76" ht="12.95" customHeight="1">
      <c r="B39" s="2345" t="s">
        <v>1690</v>
      </c>
      <c r="C39" s="2346"/>
      <c r="D39" s="2346"/>
      <c r="E39" s="2346"/>
      <c r="F39" s="2346"/>
      <c r="G39" s="2346"/>
      <c r="H39" s="2346"/>
      <c r="I39" s="2346"/>
      <c r="J39" s="2346"/>
      <c r="K39" s="2346"/>
      <c r="L39" s="2346"/>
      <c r="M39" s="2346"/>
      <c r="N39" s="2346"/>
      <c r="O39" s="2346"/>
      <c r="P39" s="2346"/>
      <c r="Q39" s="2346"/>
      <c r="R39" s="2346"/>
      <c r="S39" s="2346"/>
      <c r="T39" s="2346"/>
      <c r="U39" s="2346"/>
      <c r="V39" s="2346"/>
      <c r="W39" s="2346"/>
      <c r="X39" s="2347"/>
      <c r="Y39" s="2361">
        <v>0.04</v>
      </c>
      <c r="Z39" s="2361"/>
      <c r="AA39" s="2361"/>
      <c r="AB39" s="2361"/>
      <c r="AC39" s="2361"/>
      <c r="AD39" s="2361">
        <v>0.04</v>
      </c>
      <c r="AE39" s="2361"/>
      <c r="AF39" s="2361"/>
      <c r="AG39" s="2361"/>
      <c r="AH39" s="2361"/>
    </row>
    <row r="40" spans="1:76" ht="12.95" customHeight="1">
      <c r="A40" s="404"/>
      <c r="B40" s="2345" t="s">
        <v>642</v>
      </c>
      <c r="C40" s="2346"/>
      <c r="D40" s="2346"/>
      <c r="E40" s="2346"/>
      <c r="F40" s="2346"/>
      <c r="G40" s="2346"/>
      <c r="H40" s="2346"/>
      <c r="I40" s="2346"/>
      <c r="J40" s="2346"/>
      <c r="K40" s="2346"/>
      <c r="L40" s="2346"/>
      <c r="M40" s="2346"/>
      <c r="N40" s="2346"/>
      <c r="O40" s="2346"/>
      <c r="P40" s="2346"/>
      <c r="Q40" s="2346"/>
      <c r="R40" s="2346"/>
      <c r="S40" s="2346"/>
      <c r="T40" s="2346"/>
      <c r="U40" s="2346"/>
      <c r="V40" s="2346"/>
      <c r="W40" s="2346"/>
      <c r="X40" s="2347"/>
      <c r="Y40" s="2339">
        <f>ROUND(Y38*Y39,0)</f>
        <v>5922079</v>
      </c>
      <c r="Z40" s="2339"/>
      <c r="AA40" s="2339"/>
      <c r="AB40" s="2339"/>
      <c r="AC40" s="2339"/>
      <c r="AD40" s="2358">
        <f>ROUND(AD38*AD39,0)</f>
        <v>0</v>
      </c>
      <c r="AE40" s="2339"/>
      <c r="AF40" s="2339"/>
      <c r="AG40" s="2339"/>
      <c r="AH40" s="2339"/>
    </row>
    <row r="41" spans="1:76" ht="12.95" customHeight="1">
      <c r="B41" s="2345" t="s">
        <v>643</v>
      </c>
      <c r="C41" s="2346"/>
      <c r="D41" s="2346"/>
      <c r="E41" s="2346"/>
      <c r="F41" s="2346"/>
      <c r="G41" s="2346"/>
      <c r="H41" s="2346"/>
      <c r="I41" s="2346"/>
      <c r="J41" s="2346"/>
      <c r="K41" s="2346"/>
      <c r="L41" s="2346"/>
      <c r="M41" s="2346"/>
      <c r="N41" s="2346"/>
      <c r="O41" s="2346"/>
      <c r="P41" s="2346"/>
      <c r="Q41" s="2346"/>
      <c r="R41" s="2346"/>
      <c r="S41" s="2346"/>
      <c r="T41" s="2346"/>
      <c r="U41" s="2346"/>
      <c r="V41" s="2346"/>
      <c r="W41" s="2346"/>
      <c r="X41" s="2347"/>
      <c r="Y41" s="2349">
        <f>Y40+AD40</f>
        <v>5922079</v>
      </c>
      <c r="Z41" s="2357"/>
      <c r="AA41" s="2357"/>
      <c r="AB41" s="2357"/>
      <c r="AC41" s="2357"/>
      <c r="AD41" s="2357"/>
      <c r="AE41" s="2357"/>
      <c r="AF41" s="2357"/>
      <c r="AG41" s="2357"/>
      <c r="AH41" s="2358"/>
    </row>
    <row r="42" spans="1:76" ht="12.95" customHeight="1">
      <c r="A42" s="404"/>
      <c r="B42" s="929"/>
      <c r="C42" s="929"/>
      <c r="D42" s="929"/>
      <c r="E42" s="929"/>
      <c r="F42" s="929"/>
      <c r="G42" s="929"/>
      <c r="H42" s="929"/>
      <c r="I42" s="929"/>
      <c r="J42" s="929"/>
      <c r="K42" s="929"/>
      <c r="L42" s="929"/>
      <c r="M42" s="929"/>
      <c r="N42" s="929"/>
      <c r="O42" s="929"/>
      <c r="P42" s="929"/>
      <c r="Q42" s="929"/>
      <c r="R42" s="929"/>
      <c r="S42" s="929"/>
      <c r="T42" s="929"/>
      <c r="U42" s="929"/>
      <c r="V42" s="929"/>
      <c r="W42" s="929"/>
      <c r="X42" s="929"/>
      <c r="Y42" s="929"/>
      <c r="Z42" s="929"/>
      <c r="AA42" s="929"/>
      <c r="AB42" s="929"/>
      <c r="AC42" s="929"/>
      <c r="AD42" s="929"/>
      <c r="AE42" s="929"/>
      <c r="AF42" s="929"/>
      <c r="AG42" s="929"/>
      <c r="AH42" s="929"/>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6" t="s">
        <v>1275</v>
      </c>
      <c r="B44" s="2356"/>
      <c r="C44" s="2356"/>
      <c r="D44" s="2356"/>
      <c r="E44" s="2356"/>
      <c r="F44" s="2356"/>
      <c r="G44" s="2356"/>
      <c r="H44" s="2356"/>
      <c r="I44" s="2356"/>
      <c r="J44" s="2356"/>
      <c r="K44" s="2356"/>
      <c r="L44" s="2356"/>
      <c r="M44" s="2356"/>
      <c r="N44" s="2356"/>
      <c r="O44" s="2356"/>
      <c r="P44" s="2356"/>
      <c r="Q44" s="2356"/>
      <c r="R44" s="2356"/>
      <c r="S44" s="2356"/>
      <c r="T44" s="2356"/>
      <c r="U44" s="2356"/>
      <c r="V44" s="2356"/>
      <c r="W44" s="2356"/>
      <c r="X44" s="2356"/>
      <c r="Y44" s="2356"/>
      <c r="Z44" s="2356"/>
      <c r="AA44" s="2356"/>
      <c r="AB44" s="2356"/>
      <c r="AC44" s="2356"/>
      <c r="AD44" s="2356"/>
      <c r="AE44" s="2356"/>
      <c r="AF44" s="2356"/>
      <c r="AG44" s="2356"/>
      <c r="AH44" s="2356"/>
      <c r="AI44" s="2356"/>
      <c r="AJ44" s="2356"/>
      <c r="AK44" s="2356"/>
      <c r="AL44" s="2356"/>
      <c r="AM44" s="2356"/>
      <c r="AN44" s="2356"/>
      <c r="AO44" s="2356"/>
      <c r="AP44" s="2356"/>
      <c r="AQ44" s="2356"/>
      <c r="AR44" s="2356"/>
      <c r="AS44" s="2356"/>
      <c r="AT44" s="2356"/>
      <c r="AU44" s="2356"/>
      <c r="AV44" s="2356"/>
      <c r="AW44" s="2356"/>
      <c r="AX44" s="2356"/>
      <c r="AY44" s="2356"/>
      <c r="AZ44" s="2356"/>
      <c r="BA44" s="2356"/>
      <c r="BB44" s="2356"/>
      <c r="BC44" s="2356"/>
      <c r="BD44" s="2356"/>
      <c r="BE44" s="2356"/>
      <c r="BF44" s="2356"/>
      <c r="BG44" s="2356"/>
      <c r="BH44" s="2356"/>
      <c r="BI44" s="2356"/>
      <c r="BJ44" s="2356"/>
      <c r="BK44" s="2356"/>
      <c r="BL44" s="2356"/>
      <c r="BM44" s="2356"/>
      <c r="BN44" s="2356"/>
      <c r="BO44" s="2356"/>
      <c r="BP44" s="2356"/>
      <c r="BQ44" s="2356"/>
      <c r="BR44" s="2356"/>
      <c r="BS44" s="2356"/>
      <c r="BT44" s="2356"/>
      <c r="BU44" s="2356"/>
      <c r="BV44" s="2356"/>
      <c r="BW44" s="2356"/>
      <c r="BX44" s="2356"/>
    </row>
    <row r="45" spans="1:76" s="204" customFormat="1" ht="12.95" customHeight="1" thickTop="1"/>
    <row r="46" spans="1:76" ht="12.95" customHeight="1">
      <c r="A46" s="404" t="s">
        <v>586</v>
      </c>
      <c r="C46" s="404" t="s">
        <v>282</v>
      </c>
    </row>
    <row r="47" spans="1:76" ht="12.95" customHeight="1">
      <c r="D47" s="404" t="s">
        <v>283</v>
      </c>
      <c r="AB47" s="2353">
        <f>'Sources and Uses Budget'!B105-MAX(IF('Sources and Uses Budget'!B15="",0,'Sources and Uses Budget'!B15),IF(Application!AG394="",0,Application!AG394))</f>
        <v>124739671</v>
      </c>
      <c r="AC47" s="2354"/>
      <c r="AD47" s="2354"/>
      <c r="AE47" s="2354"/>
      <c r="AF47" s="2355"/>
    </row>
    <row r="48" spans="1:76" ht="12.95" customHeight="1">
      <c r="D48" s="404" t="s">
        <v>21</v>
      </c>
      <c r="AB48" s="2353">
        <f>Application!AO639-MAX(IF('Sources and Uses Budget'!B15="",0,'Sources and Uses Budget'!B15),IF(Application!AG394="",0,Application!AG394))</f>
        <v>73222736</v>
      </c>
      <c r="AC48" s="2354"/>
      <c r="AD48" s="2354"/>
      <c r="AE48" s="2354"/>
      <c r="AF48" s="2355"/>
    </row>
    <row r="49" spans="1:76" ht="12.95" customHeight="1">
      <c r="D49" s="404" t="s">
        <v>91</v>
      </c>
      <c r="AB49" s="2353">
        <f>AB47-AB48</f>
        <v>51516935</v>
      </c>
      <c r="AC49" s="2354"/>
      <c r="AD49" s="2354"/>
      <c r="AE49" s="2354"/>
      <c r="AF49" s="2355"/>
    </row>
    <row r="50" spans="1:76" ht="12.95" customHeight="1">
      <c r="D50" s="404" t="s">
        <v>681</v>
      </c>
      <c r="AA50" s="415"/>
      <c r="AB50" s="2341">
        <v>0.86991300000000005</v>
      </c>
      <c r="AC50" s="2342"/>
      <c r="AD50" s="2342"/>
      <c r="AE50" s="2342"/>
      <c r="AF50" s="2343"/>
    </row>
    <row r="51" spans="1:76" s="417" customFormat="1" ht="12.95" customHeight="1">
      <c r="A51" s="402"/>
      <c r="B51" s="402"/>
      <c r="C51" s="402"/>
      <c r="D51" s="402"/>
      <c r="E51" s="2352" t="s">
        <v>1849</v>
      </c>
      <c r="F51" s="2352"/>
      <c r="G51" s="2352"/>
      <c r="H51" s="2352"/>
      <c r="I51" s="2352"/>
      <c r="J51" s="2352"/>
      <c r="K51" s="2352"/>
      <c r="L51" s="2352"/>
      <c r="M51" s="2352"/>
      <c r="N51" s="2352"/>
      <c r="O51" s="2352"/>
      <c r="P51" s="2352"/>
      <c r="Q51" s="2352"/>
      <c r="R51" s="2352"/>
      <c r="S51" s="2352"/>
      <c r="T51" s="2352"/>
      <c r="U51" s="2352"/>
      <c r="V51" s="2352"/>
      <c r="W51" s="2352"/>
      <c r="X51" s="2352"/>
      <c r="Y51" s="2352"/>
      <c r="Z51" s="2352"/>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2"/>
      <c r="F52" s="2352"/>
      <c r="G52" s="2352"/>
      <c r="H52" s="2352"/>
      <c r="I52" s="2352"/>
      <c r="J52" s="2352"/>
      <c r="K52" s="2352"/>
      <c r="L52" s="2352"/>
      <c r="M52" s="2352"/>
      <c r="N52" s="2352"/>
      <c r="O52" s="2352"/>
      <c r="P52" s="2352"/>
      <c r="Q52" s="2352"/>
      <c r="R52" s="2352"/>
      <c r="S52" s="2352"/>
      <c r="T52" s="2352"/>
      <c r="U52" s="2352"/>
      <c r="V52" s="2352"/>
      <c r="W52" s="2352"/>
      <c r="X52" s="2352"/>
      <c r="Y52" s="2352"/>
      <c r="Z52" s="2352"/>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3">
        <f>ROUND(IF(ISERROR((AB49/AB50)),0,(AB49/AB50)),0)</f>
        <v>59220790</v>
      </c>
      <c r="AC54" s="2354"/>
      <c r="AD54" s="2354"/>
      <c r="AE54" s="2354"/>
      <c r="AF54" s="2355"/>
    </row>
    <row r="55" spans="1:76" ht="12.95" customHeight="1">
      <c r="D55" s="404" t="s">
        <v>333</v>
      </c>
      <c r="AB55" s="2353">
        <f>(AB54/10)</f>
        <v>5922079</v>
      </c>
      <c r="AC55" s="2354"/>
      <c r="AD55" s="2354"/>
      <c r="AE55" s="2354"/>
      <c r="AF55" s="2355"/>
    </row>
    <row r="56" spans="1:76" ht="12.95" customHeight="1">
      <c r="D56" s="404" t="s">
        <v>756</v>
      </c>
      <c r="AB56" s="2353">
        <f>ROUND((IF((Y41&lt;AB55),Y41,AB55)),0)</f>
        <v>5922079</v>
      </c>
      <c r="AC56" s="2354"/>
      <c r="AD56" s="2354"/>
      <c r="AE56" s="2354"/>
      <c r="AF56" s="2355"/>
    </row>
    <row r="57" spans="1:76" ht="12.95" customHeight="1">
      <c r="D57" s="404" t="s">
        <v>755</v>
      </c>
      <c r="AB57" s="2353">
        <f>ROUND((10*AB56*AB50),0)</f>
        <v>51516935</v>
      </c>
      <c r="AC57" s="2354"/>
      <c r="AD57" s="2354"/>
      <c r="AE57" s="2354"/>
      <c r="AF57" s="2355"/>
    </row>
    <row r="58" spans="1:76" ht="12.95" customHeight="1">
      <c r="D58" s="404"/>
      <c r="AB58" s="423"/>
      <c r="AC58" s="423"/>
      <c r="AD58" s="423"/>
      <c r="AE58" s="423"/>
      <c r="AF58" s="423"/>
    </row>
    <row r="59" spans="1:76" ht="12.95" customHeight="1">
      <c r="D59" s="404" t="s">
        <v>754</v>
      </c>
      <c r="AB59" s="2337">
        <f>AB49-AB57</f>
        <v>0</v>
      </c>
      <c r="AC59" s="2337"/>
      <c r="AD59" s="2337"/>
      <c r="AE59" s="2337"/>
      <c r="AF59" s="2337"/>
    </row>
    <row r="60" spans="1:76" ht="12.95" customHeight="1">
      <c r="D60" s="404"/>
      <c r="AB60" s="423"/>
      <c r="AC60" s="423"/>
      <c r="AD60" s="423"/>
      <c r="AE60" s="423"/>
      <c r="AF60" s="423"/>
    </row>
    <row r="61" spans="1:76" s="204" customFormat="1" ht="12.95" customHeight="1" thickBot="1">
      <c r="A61" s="2356" t="str">
        <f>IF(Application!AP205="yes","Farmworker State Credit", "State Credit" )</f>
        <v>State Credit</v>
      </c>
      <c r="B61" s="2356"/>
      <c r="C61" s="2356"/>
      <c r="D61" s="2356"/>
      <c r="E61" s="2356"/>
      <c r="F61" s="2356"/>
      <c r="G61" s="2356"/>
      <c r="H61" s="2356"/>
      <c r="I61" s="2356"/>
      <c r="J61" s="2356"/>
      <c r="K61" s="2356"/>
      <c r="L61" s="2356"/>
      <c r="M61" s="2356"/>
      <c r="N61" s="2356"/>
      <c r="O61" s="2356"/>
      <c r="P61" s="2356"/>
      <c r="Q61" s="2356"/>
      <c r="R61" s="2356"/>
      <c r="S61" s="2356"/>
      <c r="T61" s="2356"/>
      <c r="U61" s="2356"/>
      <c r="V61" s="2356"/>
      <c r="W61" s="2356"/>
      <c r="X61" s="2356"/>
      <c r="Y61" s="2356"/>
      <c r="Z61" s="2356"/>
      <c r="AA61" s="2356"/>
      <c r="AB61" s="2356"/>
      <c r="AC61" s="2356"/>
      <c r="AD61" s="2356"/>
      <c r="AE61" s="2356"/>
      <c r="AF61" s="2356"/>
      <c r="AG61" s="2356"/>
      <c r="AH61" s="2356"/>
      <c r="AI61" s="2356"/>
      <c r="AJ61" s="2356"/>
      <c r="AK61" s="2356"/>
      <c r="AL61" s="2356"/>
      <c r="AM61" s="2356"/>
      <c r="AN61" s="2356"/>
      <c r="AO61" s="2356"/>
      <c r="AP61" s="2356"/>
      <c r="AQ61" s="2356"/>
      <c r="AR61" s="2356"/>
      <c r="AS61" s="2356"/>
      <c r="AT61" s="2356"/>
      <c r="AU61" s="2356"/>
      <c r="AV61" s="2356"/>
      <c r="AW61" s="2356"/>
      <c r="AX61" s="2356"/>
      <c r="AY61" s="2356"/>
      <c r="AZ61" s="2356"/>
      <c r="BA61" s="2356"/>
      <c r="BB61" s="2356"/>
      <c r="BC61" s="2356"/>
      <c r="BD61" s="2356"/>
      <c r="BE61" s="2356"/>
      <c r="BF61" s="2356"/>
      <c r="BG61" s="2356"/>
      <c r="BH61" s="2356"/>
      <c r="BI61" s="2356"/>
      <c r="BJ61" s="2356"/>
      <c r="BK61" s="2356"/>
      <c r="BL61" s="2356"/>
      <c r="BM61" s="2356"/>
      <c r="BN61" s="2356"/>
      <c r="BO61" s="2356"/>
      <c r="BP61" s="2356"/>
      <c r="BQ61" s="2356"/>
      <c r="BR61" s="2356"/>
      <c r="BS61" s="2356"/>
      <c r="BT61" s="2356"/>
      <c r="BU61" s="2356"/>
      <c r="BV61" s="2356"/>
      <c r="BW61" s="2356"/>
      <c r="BX61" s="2356"/>
    </row>
    <row r="62" spans="1:76" s="204" customFormat="1" ht="12.95" customHeight="1" thickTop="1"/>
    <row r="63" spans="1:76" ht="12.95" customHeight="1">
      <c r="A63" s="404" t="s">
        <v>589</v>
      </c>
      <c r="C63" s="205" t="s">
        <v>1247</v>
      </c>
      <c r="Y63" s="2348" t="s">
        <v>983</v>
      </c>
      <c r="Z63" s="2348"/>
      <c r="AA63" s="2348"/>
      <c r="AB63" s="2348"/>
      <c r="AC63" s="2348"/>
      <c r="AD63" s="2348" t="s">
        <v>369</v>
      </c>
      <c r="AE63" s="2348"/>
      <c r="AF63" s="2348"/>
      <c r="AG63" s="2348"/>
      <c r="AH63" s="2348"/>
    </row>
    <row r="64" spans="1:76" ht="12.95"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49">
        <f>IF(Application!$Z$205="(select)",0,((T23*T27)+Y28))</f>
        <v>0</v>
      </c>
      <c r="Z64" s="2350"/>
      <c r="AA64" s="2350"/>
      <c r="AB64" s="2350"/>
      <c r="AC64" s="2351"/>
      <c r="AD64" s="2349">
        <f>IF(AND(OR(Application!D211="At-Risk",Application!D211="At-Risk and Special Needs"),Application!M358="yes"),AD28+AI28,0)</f>
        <v>0</v>
      </c>
      <c r="AE64" s="2350"/>
      <c r="AF64" s="2350"/>
      <c r="AG64" s="2350"/>
      <c r="AH64" s="2351"/>
    </row>
    <row r="65" spans="1:36" ht="12.95" customHeight="1">
      <c r="C65" s="404"/>
      <c r="E65" s="1016"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6"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8" cm="1">
        <f t="array" ref="Y67">_xlfn.IFS(OR(Application!Z205="State Farmworker Credit",Application!Z205="$500M (Farmworker Housing)"),0.75,Application!Z205="15% set-aside",0.13,Application!Z205="15% set-aside with qualifying low value rehab",0.95,Application!Z205="$500M",0.3,TRUE,0)</f>
        <v>0</v>
      </c>
      <c r="Z67" s="2338"/>
      <c r="AA67" s="2338"/>
      <c r="AB67" s="2338"/>
      <c r="AC67" s="2338"/>
      <c r="AD67" s="2338" cm="1">
        <f t="array" ref="AD67">_xlfn.IFS(Application!Z205="15% set-aside with qualifying low value rehab", 0.95,OR(Application!D211="At-Risk",'Points System'!B13="Yes"),0.13,TRUE,0)</f>
        <v>0</v>
      </c>
      <c r="AE67" s="2338"/>
      <c r="AF67" s="2338"/>
      <c r="AG67" s="2338"/>
      <c r="AH67" s="2338"/>
    </row>
    <row r="68" spans="1:36" ht="12.95" customHeight="1">
      <c r="C68" s="404"/>
      <c r="D68" s="205" t="s">
        <v>2225</v>
      </c>
      <c r="Y68" s="2339">
        <f>ROUND(Y64*Y67,0)</f>
        <v>0</v>
      </c>
      <c r="Z68" s="2340"/>
      <c r="AA68" s="2340"/>
      <c r="AB68" s="2340"/>
      <c r="AC68" s="2340"/>
      <c r="AD68" s="2339">
        <f>ROUND(AD64*AD67,0)</f>
        <v>0</v>
      </c>
      <c r="AE68" s="2340"/>
      <c r="AF68" s="2340"/>
      <c r="AG68" s="2340"/>
      <c r="AH68" s="2340"/>
    </row>
    <row r="69" spans="1:36" ht="12.95" customHeight="1">
      <c r="C69" s="404"/>
      <c r="D69" s="205" t="s">
        <v>2226</v>
      </c>
      <c r="Y69" s="2339">
        <f>IF(OR(Application!Z205="State Farmworker Credit",Application!Z205="$500M (Farmworker Housing)"),Y68+AD68,MIN(Y68+AD68,200000*(Application!G753+Application!O777)))</f>
        <v>0</v>
      </c>
      <c r="Z69" s="2339"/>
      <c r="AA69" s="2339"/>
      <c r="AB69" s="2339"/>
      <c r="AC69" s="2339"/>
      <c r="AD69" s="2339"/>
      <c r="AE69" s="2339"/>
      <c r="AF69" s="2339"/>
      <c r="AG69" s="2339"/>
      <c r="AH69" s="2339"/>
    </row>
    <row r="70" spans="1:36" ht="12.95" customHeight="1">
      <c r="C70" s="404"/>
      <c r="E70" s="404"/>
      <c r="AB70" s="422"/>
      <c r="AC70" s="422"/>
      <c r="AD70" s="422"/>
      <c r="AE70" s="422"/>
      <c r="AF70" s="422"/>
    </row>
    <row r="71" spans="1:36" ht="12.95" customHeight="1">
      <c r="A71" s="404" t="s">
        <v>590</v>
      </c>
      <c r="C71" s="205" t="s">
        <v>284</v>
      </c>
    </row>
    <row r="72" spans="1:36" ht="12.95" customHeight="1">
      <c r="A72" s="404"/>
      <c r="C72" s="404"/>
      <c r="D72" s="205" t="s">
        <v>1249</v>
      </c>
      <c r="AB72" s="2341"/>
      <c r="AC72" s="2342"/>
      <c r="AD72" s="2342"/>
      <c r="AE72" s="2342"/>
      <c r="AF72" s="2343"/>
    </row>
    <row r="73" spans="1:36" ht="12.95" customHeight="1">
      <c r="A73" s="404"/>
      <c r="C73" s="404"/>
      <c r="D73" s="404"/>
      <c r="E73" s="2344" t="s">
        <v>1250</v>
      </c>
      <c r="F73" s="2344"/>
      <c r="G73" s="2344"/>
      <c r="H73" s="2344"/>
      <c r="I73" s="2344"/>
      <c r="J73" s="2344"/>
      <c r="K73" s="2344"/>
      <c r="L73" s="2344"/>
      <c r="M73" s="2344"/>
      <c r="N73" s="2344"/>
      <c r="O73" s="2344"/>
      <c r="P73" s="2344"/>
      <c r="Q73" s="2344"/>
      <c r="R73" s="2344"/>
      <c r="S73" s="2344"/>
      <c r="T73" s="2344"/>
      <c r="U73" s="2344"/>
      <c r="V73" s="2344"/>
      <c r="W73" s="2344"/>
      <c r="X73" s="2344"/>
      <c r="Y73" s="2344"/>
      <c r="Z73" s="2344"/>
      <c r="AA73" s="2344"/>
      <c r="AB73" s="438"/>
      <c r="AC73" s="438"/>
    </row>
    <row r="74" spans="1:36" ht="12.95" customHeight="1">
      <c r="A74" s="404"/>
      <c r="C74" s="404"/>
      <c r="D74" s="404"/>
      <c r="E74" s="2344"/>
      <c r="F74" s="2344"/>
      <c r="G74" s="2344"/>
      <c r="H74" s="2344"/>
      <c r="I74" s="2344"/>
      <c r="J74" s="2344"/>
      <c r="K74" s="2344"/>
      <c r="L74" s="2344"/>
      <c r="M74" s="2344"/>
      <c r="N74" s="2344"/>
      <c r="O74" s="2344"/>
      <c r="P74" s="2344"/>
      <c r="Q74" s="2344"/>
      <c r="R74" s="2344"/>
      <c r="S74" s="2344"/>
      <c r="T74" s="2344"/>
      <c r="U74" s="2344"/>
      <c r="V74" s="2344"/>
      <c r="W74" s="2344"/>
      <c r="X74" s="2344"/>
      <c r="Y74" s="2344"/>
      <c r="Z74" s="2344"/>
      <c r="AA74" s="2344"/>
      <c r="AB74" s="438"/>
      <c r="AC74" s="438"/>
    </row>
    <row r="75" spans="1:36" ht="12.95" customHeight="1">
      <c r="A75" s="404"/>
      <c r="C75" s="404"/>
      <c r="D75" s="404"/>
      <c r="E75" s="2344"/>
      <c r="F75" s="2344"/>
      <c r="G75" s="2344"/>
      <c r="H75" s="2344"/>
      <c r="I75" s="2344"/>
      <c r="J75" s="2344"/>
      <c r="K75" s="2344"/>
      <c r="L75" s="2344"/>
      <c r="M75" s="2344"/>
      <c r="N75" s="2344"/>
      <c r="O75" s="2344"/>
      <c r="P75" s="2344"/>
      <c r="Q75" s="2344"/>
      <c r="R75" s="2344"/>
      <c r="S75" s="2344"/>
      <c r="T75" s="2344"/>
      <c r="U75" s="2344"/>
      <c r="V75" s="2344"/>
      <c r="W75" s="2344"/>
      <c r="X75" s="2344"/>
      <c r="Y75" s="2344"/>
      <c r="Z75" s="2344"/>
      <c r="AA75" s="2344"/>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1251</v>
      </c>
      <c r="AB77" s="2332">
        <f>ROUND(IF(ISERROR((AB59/AB72)),0,(AB59/AB72)),0)</f>
        <v>0</v>
      </c>
      <c r="AC77" s="2332"/>
      <c r="AD77" s="2332"/>
      <c r="AE77" s="2332"/>
      <c r="AF77" s="2332"/>
    </row>
    <row r="78" spans="1:36" ht="12.95" customHeight="1">
      <c r="C78" s="404"/>
      <c r="D78" s="205" t="s">
        <v>1252</v>
      </c>
      <c r="AB78" s="2333">
        <f>ROUNDUP(MIN(Y69,AB77),0)</f>
        <v>0</v>
      </c>
      <c r="AC78" s="2334"/>
      <c r="AD78" s="2334"/>
      <c r="AE78" s="2334"/>
      <c r="AF78" s="2335"/>
    </row>
    <row r="79" spans="1:36" ht="12.95" customHeight="1">
      <c r="C79" s="404"/>
      <c r="D79" s="205" t="s">
        <v>1253</v>
      </c>
      <c r="AB79" s="2336">
        <f>AB78*AB72</f>
        <v>0</v>
      </c>
      <c r="AC79" s="2336"/>
      <c r="AD79" s="2336"/>
      <c r="AE79" s="2336"/>
      <c r="AF79" s="2336"/>
    </row>
    <row r="80" spans="1:36" ht="12.95" customHeight="1">
      <c r="C80" s="404"/>
      <c r="D80" s="404"/>
      <c r="AB80" s="425"/>
      <c r="AC80" s="425"/>
      <c r="AD80" s="425"/>
      <c r="AE80" s="425"/>
      <c r="AF80" s="425"/>
    </row>
    <row r="81" spans="1:78" ht="12.95" customHeight="1">
      <c r="D81" s="404" t="s">
        <v>754</v>
      </c>
      <c r="AB81" s="2337">
        <f>AB49-(AB57+AB79)</f>
        <v>0</v>
      </c>
      <c r="AC81" s="2337"/>
      <c r="AD81" s="2337"/>
      <c r="AE81" s="2337"/>
      <c r="AF81" s="2337"/>
    </row>
    <row r="82" spans="1:78" ht="12.95" customHeight="1">
      <c r="F82" s="522"/>
      <c r="J82" s="522" t="str">
        <f>IF(AB81&gt;0,"FUNDING GAP MUST NOT EXCEED ZERO","")</f>
        <v/>
      </c>
    </row>
    <row r="83" spans="1:78" ht="12.95" customHeight="1">
      <c r="D83" s="523"/>
    </row>
    <row r="84" spans="1:78" ht="12.95" customHeight="1" thickBot="1">
      <c r="A84" s="2356"/>
      <c r="B84" s="2356"/>
      <c r="C84" s="2356"/>
      <c r="D84" s="2356"/>
      <c r="E84" s="2356"/>
      <c r="F84" s="2356"/>
      <c r="G84" s="2356"/>
      <c r="H84" s="2356"/>
      <c r="I84" s="2356"/>
      <c r="J84" s="2356"/>
      <c r="K84" s="2356"/>
      <c r="L84" s="2356"/>
      <c r="M84" s="2356"/>
      <c r="N84" s="2356"/>
      <c r="O84" s="2356"/>
      <c r="P84" s="2356"/>
      <c r="Q84" s="2356"/>
      <c r="R84" s="2356"/>
      <c r="S84" s="2356"/>
      <c r="T84" s="2356"/>
      <c r="U84" s="2356"/>
      <c r="V84" s="2356"/>
      <c r="W84" s="2356"/>
      <c r="X84" s="2356"/>
      <c r="Y84" s="2356"/>
      <c r="Z84" s="2356"/>
      <c r="AA84" s="2356"/>
      <c r="AB84" s="2356"/>
      <c r="AC84" s="2356"/>
      <c r="AD84" s="2356"/>
      <c r="AE84" s="2356"/>
      <c r="AF84" s="2356"/>
      <c r="AG84" s="2356"/>
      <c r="AH84" s="2356"/>
      <c r="AI84" s="2356"/>
      <c r="AJ84" s="2356"/>
      <c r="AK84" s="2356"/>
      <c r="AL84" s="2356"/>
      <c r="AM84" s="2356"/>
      <c r="AN84" s="2356"/>
      <c r="AO84" s="2356"/>
      <c r="AP84" s="2356"/>
      <c r="AQ84" s="2356"/>
      <c r="AR84" s="2356"/>
      <c r="AS84" s="2356"/>
      <c r="AT84" s="2356"/>
      <c r="AU84" s="2356"/>
      <c r="AV84" s="2356"/>
      <c r="AW84" s="2356"/>
      <c r="AX84" s="2356"/>
      <c r="AY84" s="2356"/>
      <c r="AZ84" s="2356"/>
      <c r="BA84" s="2356"/>
      <c r="BB84" s="2356"/>
      <c r="BC84" s="2356"/>
      <c r="BD84" s="2356"/>
      <c r="BE84" s="2356"/>
      <c r="BF84" s="2356"/>
      <c r="BG84" s="2356"/>
      <c r="BH84" s="2356"/>
      <c r="BI84" s="2356"/>
      <c r="BJ84" s="2356"/>
      <c r="BK84" s="2356"/>
      <c r="BL84" s="2356"/>
      <c r="BM84" s="2356"/>
      <c r="BN84" s="2356"/>
      <c r="BO84" s="2356"/>
      <c r="BP84" s="2356"/>
      <c r="BQ84" s="2356"/>
      <c r="BR84" s="2356"/>
      <c r="BS84" s="2356"/>
      <c r="BT84" s="2356"/>
      <c r="BU84" s="2356"/>
      <c r="BV84" s="2356"/>
      <c r="BW84" s="2356"/>
      <c r="BX84" s="2356"/>
    </row>
    <row r="85" spans="1:78" ht="12.95" customHeight="1" thickTop="1"/>
    <row r="86" spans="1:78" ht="12.95" customHeight="1">
      <c r="A86" s="404"/>
      <c r="C86" s="205"/>
    </row>
    <row r="87" spans="1:78" ht="12.95" customHeight="1">
      <c r="D87" s="205"/>
      <c r="AB87" s="2388"/>
      <c r="AC87" s="2388"/>
      <c r="AD87" s="2388"/>
      <c r="AE87" s="2388"/>
      <c r="AF87" s="2388"/>
    </row>
    <row r="88" spans="1:78" ht="12.95" customHeight="1" thickBot="1">
      <c r="D88" s="205"/>
      <c r="AB88" s="2387"/>
      <c r="AC88" s="2387"/>
      <c r="AD88" s="2387"/>
      <c r="AE88" s="2387"/>
      <c r="AF88" s="2387"/>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83" workbookViewId="0">
      <selection activeCell="E104" sqref="E104:H105"/>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30" t="s">
        <v>1299</v>
      </c>
      <c r="B1" s="2430"/>
      <c r="C1" s="2430"/>
      <c r="D1" s="2430"/>
      <c r="E1" s="2430"/>
      <c r="F1" s="2430"/>
      <c r="G1" s="2430"/>
      <c r="H1" s="2430"/>
      <c r="I1" s="2430"/>
      <c r="J1" s="2430"/>
      <c r="K1" s="2430"/>
      <c r="L1" s="2430"/>
      <c r="M1" s="2430"/>
      <c r="N1" s="2430"/>
      <c r="O1" s="2430"/>
      <c r="P1" s="2430"/>
      <c r="Q1" s="2430"/>
      <c r="R1" s="2430"/>
      <c r="S1" s="2430"/>
      <c r="T1" s="2430"/>
      <c r="U1" s="2430"/>
      <c r="V1" s="2430"/>
      <c r="W1" s="2430"/>
      <c r="X1" s="2430"/>
      <c r="Y1" s="2430"/>
      <c r="Z1" s="2430"/>
      <c r="AA1" s="2430"/>
      <c r="AB1" s="2430"/>
      <c r="AC1" s="2430"/>
      <c r="AD1" s="2430"/>
      <c r="AE1" s="2430"/>
      <c r="AF1" s="2430"/>
      <c r="AG1" s="2430"/>
      <c r="AH1" s="2430"/>
      <c r="AI1" s="2430"/>
      <c r="AJ1" s="2430"/>
      <c r="AK1" s="2430"/>
      <c r="AL1" s="2430"/>
      <c r="AM1" s="2430"/>
    </row>
    <row r="2" spans="1:42" s="536" customFormat="1" ht="12.75" customHeight="1" thickBot="1">
      <c r="A2" s="2431"/>
      <c r="B2" s="2431"/>
      <c r="C2" s="2431"/>
      <c r="D2" s="2431"/>
      <c r="E2" s="2431"/>
      <c r="F2" s="2431"/>
      <c r="G2" s="2431"/>
      <c r="H2" s="2431"/>
      <c r="I2" s="2431"/>
      <c r="J2" s="2431"/>
      <c r="K2" s="2431"/>
      <c r="L2" s="2431"/>
      <c r="M2" s="2431"/>
      <c r="N2" s="2431"/>
      <c r="O2" s="2431"/>
      <c r="P2" s="2431"/>
      <c r="Q2" s="2431"/>
      <c r="R2" s="2431"/>
      <c r="S2" s="2431"/>
      <c r="T2" s="2431"/>
      <c r="U2" s="2431"/>
      <c r="V2" s="2431"/>
      <c r="W2" s="2431"/>
      <c r="X2" s="2431"/>
      <c r="Y2" s="2431"/>
      <c r="Z2" s="2431"/>
      <c r="AA2" s="2431"/>
      <c r="AB2" s="2431"/>
      <c r="AC2" s="2431"/>
      <c r="AD2" s="2431"/>
      <c r="AE2" s="2431"/>
      <c r="AF2" s="2431"/>
      <c r="AG2" s="2431"/>
      <c r="AH2" s="2431"/>
      <c r="AI2" s="2431"/>
      <c r="AJ2" s="2431"/>
      <c r="AK2" s="2431"/>
      <c r="AL2" s="2431"/>
      <c r="AM2" s="2431"/>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1" t="s">
        <v>1304</v>
      </c>
      <c r="AF7" s="2411"/>
      <c r="AG7" s="2411"/>
      <c r="AH7" s="2411"/>
      <c r="AI7" s="2411"/>
      <c r="AJ7" s="2411"/>
      <c r="AK7" s="2411"/>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0" t="s">
        <v>2006</v>
      </c>
      <c r="D11" s="1140"/>
      <c r="E11" s="1140"/>
      <c r="F11" s="1140"/>
      <c r="G11" s="1140"/>
      <c r="H11" s="1140"/>
      <c r="I11" s="1140"/>
      <c r="J11" s="1140"/>
      <c r="K11" s="1140"/>
      <c r="L11" s="1140"/>
      <c r="M11" s="1140"/>
      <c r="N11" s="1140"/>
      <c r="O11" s="1140"/>
      <c r="P11" s="1140"/>
      <c r="Q11" s="1140"/>
      <c r="R11" s="1140"/>
      <c r="S11" s="1140"/>
      <c r="T11" s="1140"/>
      <c r="U11" s="1140"/>
      <c r="V11" s="1140"/>
      <c r="W11" s="1140"/>
      <c r="X11" s="1140"/>
      <c r="Y11" s="1140"/>
      <c r="Z11" s="1140"/>
      <c r="AA11" s="1140"/>
      <c r="AB11" s="1140"/>
      <c r="AC11" s="1140"/>
      <c r="AD11" s="1140"/>
      <c r="AE11" s="1140"/>
      <c r="AF11" s="1140"/>
      <c r="AG11" s="1140"/>
      <c r="AH11" s="1140"/>
      <c r="AI11" s="1140"/>
      <c r="AJ11" s="1140"/>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1" t="s">
        <v>591</v>
      </c>
      <c r="C13" s="2401"/>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2"/>
      <c r="AH13" s="2432"/>
      <c r="AI13" s="2432"/>
      <c r="AJ13" s="2433"/>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1" t="s">
        <v>591</v>
      </c>
      <c r="C16" s="2401"/>
      <c r="D16" s="547"/>
      <c r="E16" s="2412" t="s">
        <v>1306</v>
      </c>
      <c r="F16" s="2413"/>
      <c r="G16" s="2413"/>
      <c r="H16" s="2413"/>
      <c r="I16" s="2413"/>
      <c r="J16" s="2413"/>
      <c r="K16" s="2413"/>
      <c r="L16" s="2413"/>
      <c r="M16" s="2413"/>
      <c r="N16" s="2413"/>
      <c r="O16" s="2413"/>
      <c r="P16" s="2413"/>
      <c r="Q16" s="2413"/>
      <c r="R16" s="2413"/>
      <c r="S16" s="2413"/>
      <c r="T16" s="2413"/>
      <c r="U16" s="2413"/>
      <c r="V16" s="2413"/>
      <c r="W16" s="2413"/>
      <c r="X16" s="2413"/>
      <c r="Y16" s="2413"/>
      <c r="Z16" s="2413"/>
      <c r="AA16" s="2413"/>
      <c r="AB16" s="2413"/>
      <c r="AC16" s="2413"/>
      <c r="AD16" s="2413"/>
      <c r="AE16" s="2413"/>
      <c r="AF16" s="2413"/>
      <c r="AG16" s="2413"/>
      <c r="AH16" s="2413"/>
      <c r="AI16" s="2413"/>
      <c r="AJ16" s="2414"/>
      <c r="AK16" s="540"/>
      <c r="AL16" s="540"/>
      <c r="AM16" s="540"/>
      <c r="AN16" s="535"/>
      <c r="AO16" s="550">
        <f>IF($B25="yes",20,0)</f>
        <v>0</v>
      </c>
      <c r="AP16" s="14"/>
    </row>
    <row r="17" spans="1:42" s="536" customFormat="1" ht="12.75" customHeight="1">
      <c r="A17" s="540"/>
      <c r="B17" s="540"/>
      <c r="C17" s="540"/>
      <c r="D17" s="551"/>
      <c r="E17" s="2415"/>
      <c r="F17" s="2416"/>
      <c r="G17" s="2416"/>
      <c r="H17" s="2416"/>
      <c r="I17" s="2416"/>
      <c r="J17" s="2416"/>
      <c r="K17" s="2416"/>
      <c r="L17" s="2416"/>
      <c r="M17" s="2416"/>
      <c r="N17" s="2416"/>
      <c r="O17" s="2416"/>
      <c r="P17" s="2416"/>
      <c r="Q17" s="2416"/>
      <c r="R17" s="2416"/>
      <c r="S17" s="2416"/>
      <c r="T17" s="2416"/>
      <c r="U17" s="2416"/>
      <c r="V17" s="2416"/>
      <c r="W17" s="2416"/>
      <c r="X17" s="2416"/>
      <c r="Y17" s="2416"/>
      <c r="Z17" s="2416"/>
      <c r="AA17" s="2416"/>
      <c r="AB17" s="2416"/>
      <c r="AC17" s="2416"/>
      <c r="AD17" s="2416"/>
      <c r="AE17" s="2416"/>
      <c r="AF17" s="2416"/>
      <c r="AG17" s="2416"/>
      <c r="AH17" s="2416"/>
      <c r="AI17" s="2416"/>
      <c r="AJ17" s="2417"/>
      <c r="AK17" s="540"/>
      <c r="AL17" s="540"/>
      <c r="AM17" s="540"/>
      <c r="AN17" s="535"/>
      <c r="AO17" s="550">
        <f>IF($B28="yes",20,0)</f>
        <v>0</v>
      </c>
    </row>
    <row r="18" spans="1:42" s="536" customFormat="1" ht="12.75" customHeight="1">
      <c r="A18" s="540"/>
      <c r="B18" s="540"/>
      <c r="C18" s="540"/>
      <c r="D18" s="551"/>
      <c r="E18" s="2415"/>
      <c r="F18" s="2416"/>
      <c r="G18" s="2416"/>
      <c r="H18" s="2416"/>
      <c r="I18" s="2416"/>
      <c r="J18" s="2416"/>
      <c r="K18" s="2416"/>
      <c r="L18" s="2416"/>
      <c r="M18" s="2416"/>
      <c r="N18" s="2416"/>
      <c r="O18" s="2416"/>
      <c r="P18" s="2416"/>
      <c r="Q18" s="2416"/>
      <c r="R18" s="2416"/>
      <c r="S18" s="2416"/>
      <c r="T18" s="2416"/>
      <c r="U18" s="2416"/>
      <c r="V18" s="2416"/>
      <c r="W18" s="2416"/>
      <c r="X18" s="2416"/>
      <c r="Y18" s="2416"/>
      <c r="Z18" s="2416"/>
      <c r="AA18" s="2416"/>
      <c r="AB18" s="2416"/>
      <c r="AC18" s="2416"/>
      <c r="AD18" s="2416"/>
      <c r="AE18" s="2416"/>
      <c r="AF18" s="2416"/>
      <c r="AG18" s="2416"/>
      <c r="AH18" s="2416"/>
      <c r="AI18" s="2416"/>
      <c r="AJ18" s="2417"/>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3"/>
      <c r="F20" s="2444"/>
      <c r="G20" s="2444"/>
      <c r="H20" s="2444"/>
      <c r="I20" s="2444"/>
      <c r="J20" s="2444"/>
      <c r="K20" s="2444"/>
      <c r="L20" s="2444"/>
      <c r="M20" s="2444"/>
      <c r="N20" s="2444"/>
      <c r="O20" s="2444"/>
      <c r="P20" s="2444"/>
      <c r="Q20" s="2444"/>
      <c r="R20" s="2444"/>
      <c r="S20" s="2444"/>
      <c r="T20" s="2444"/>
      <c r="U20" s="2444"/>
      <c r="V20" s="2444"/>
      <c r="W20" s="2444"/>
      <c r="X20" s="2444"/>
      <c r="Y20" s="2444"/>
      <c r="Z20" s="2444"/>
      <c r="AA20" s="2444"/>
      <c r="AB20" s="2444"/>
      <c r="AC20" s="2444"/>
      <c r="AD20" s="2444"/>
      <c r="AE20" s="2444"/>
      <c r="AF20" s="2444"/>
      <c r="AG20" s="2444"/>
      <c r="AH20" s="2444"/>
      <c r="AI20" s="2444"/>
      <c r="AJ20" s="2445"/>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1" t="s">
        <v>591</v>
      </c>
      <c r="C22" s="2401"/>
      <c r="D22" s="547"/>
      <c r="E22" s="2437" t="s">
        <v>1309</v>
      </c>
      <c r="F22" s="2438"/>
      <c r="G22" s="2438"/>
      <c r="H22" s="2438"/>
      <c r="I22" s="2438"/>
      <c r="J22" s="2438"/>
      <c r="K22" s="2438"/>
      <c r="L22" s="2438"/>
      <c r="M22" s="2438"/>
      <c r="N22" s="2438"/>
      <c r="O22" s="2438"/>
      <c r="P22" s="2438"/>
      <c r="Q22" s="2438"/>
      <c r="R22" s="2438"/>
      <c r="S22" s="2438"/>
      <c r="T22" s="2438"/>
      <c r="U22" s="2438"/>
      <c r="V22" s="2438"/>
      <c r="W22" s="2438"/>
      <c r="X22" s="2438"/>
      <c r="Y22" s="2438"/>
      <c r="Z22" s="2438"/>
      <c r="AA22" s="2438"/>
      <c r="AB22" s="2438"/>
      <c r="AC22" s="2438"/>
      <c r="AD22" s="2438"/>
      <c r="AE22" s="2438"/>
      <c r="AF22" s="2438"/>
      <c r="AG22" s="2438"/>
      <c r="AH22" s="2438"/>
      <c r="AI22" s="2438"/>
      <c r="AJ22" s="2439"/>
      <c r="AK22" s="540"/>
      <c r="AL22" s="540"/>
      <c r="AM22" s="540"/>
      <c r="AN22" s="535"/>
      <c r="AO22" s="550">
        <f>IF($B40="yes",14,0)</f>
        <v>0</v>
      </c>
    </row>
    <row r="23" spans="1:42" s="536" customFormat="1" ht="12.75" customHeight="1">
      <c r="A23" s="540"/>
      <c r="B23" s="540"/>
      <c r="C23" s="540"/>
      <c r="D23" s="550"/>
      <c r="E23" s="2440"/>
      <c r="F23" s="2441"/>
      <c r="G23" s="2441"/>
      <c r="H23" s="2441"/>
      <c r="I23" s="2441"/>
      <c r="J23" s="2441"/>
      <c r="K23" s="2441"/>
      <c r="L23" s="2441"/>
      <c r="M23" s="2441"/>
      <c r="N23" s="2441"/>
      <c r="O23" s="2441"/>
      <c r="P23" s="2441"/>
      <c r="Q23" s="2441"/>
      <c r="R23" s="2441"/>
      <c r="S23" s="2441"/>
      <c r="T23" s="2441"/>
      <c r="U23" s="2441"/>
      <c r="V23" s="2441"/>
      <c r="W23" s="2441"/>
      <c r="X23" s="2441"/>
      <c r="Y23" s="2441"/>
      <c r="Z23" s="2441"/>
      <c r="AA23" s="2441"/>
      <c r="AB23" s="2441"/>
      <c r="AC23" s="2441"/>
      <c r="AD23" s="2441"/>
      <c r="AE23" s="2441"/>
      <c r="AF23" s="2441"/>
      <c r="AG23" s="2441"/>
      <c r="AH23" s="2441"/>
      <c r="AI23" s="2441"/>
      <c r="AJ23" s="2442"/>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1" t="s">
        <v>591</v>
      </c>
      <c r="C25" s="2401"/>
      <c r="D25" s="547"/>
      <c r="E25" s="2402" t="s">
        <v>2033</v>
      </c>
      <c r="F25" s="2403"/>
      <c r="G25" s="2403"/>
      <c r="H25" s="2403"/>
      <c r="I25" s="2403"/>
      <c r="J25" s="2403"/>
      <c r="K25" s="2403"/>
      <c r="L25" s="2403"/>
      <c r="M25" s="2403"/>
      <c r="N25" s="2403"/>
      <c r="O25" s="2403"/>
      <c r="P25" s="2403"/>
      <c r="Q25" s="2403"/>
      <c r="R25" s="2403"/>
      <c r="S25" s="2403"/>
      <c r="T25" s="2403"/>
      <c r="U25" s="2403"/>
      <c r="V25" s="2403"/>
      <c r="W25" s="2403"/>
      <c r="X25" s="2403"/>
      <c r="Y25" s="2403"/>
      <c r="Z25" s="2403"/>
      <c r="AA25" s="2403"/>
      <c r="AB25" s="2403"/>
      <c r="AC25" s="2403"/>
      <c r="AD25" s="2403"/>
      <c r="AE25" s="2403"/>
      <c r="AF25" s="2403"/>
      <c r="AG25" s="2403"/>
      <c r="AH25" s="2403"/>
      <c r="AI25" s="2403"/>
      <c r="AJ25" s="2404"/>
      <c r="AK25" s="540"/>
      <c r="AL25" s="540"/>
      <c r="AM25" s="540"/>
      <c r="AN25" s="535"/>
      <c r="AO25" s="550">
        <f>IF($B45="yes",6,0)</f>
        <v>0</v>
      </c>
    </row>
    <row r="26" spans="1:42" s="536" customFormat="1" ht="12.75" customHeight="1">
      <c r="A26" s="540"/>
      <c r="B26" s="540"/>
      <c r="C26" s="540"/>
      <c r="D26" s="550"/>
      <c r="E26" s="2405"/>
      <c r="F26" s="2406"/>
      <c r="G26" s="2406"/>
      <c r="H26" s="2406"/>
      <c r="I26" s="2406"/>
      <c r="J26" s="2406"/>
      <c r="K26" s="2406"/>
      <c r="L26" s="2406"/>
      <c r="M26" s="2406"/>
      <c r="N26" s="2406"/>
      <c r="O26" s="2406"/>
      <c r="P26" s="2406"/>
      <c r="Q26" s="2406"/>
      <c r="R26" s="2406"/>
      <c r="S26" s="2406"/>
      <c r="T26" s="2406"/>
      <c r="U26" s="2406"/>
      <c r="V26" s="2406"/>
      <c r="W26" s="2406"/>
      <c r="X26" s="2406"/>
      <c r="Y26" s="2406"/>
      <c r="Z26" s="2406"/>
      <c r="AA26" s="2406"/>
      <c r="AB26" s="2406"/>
      <c r="AC26" s="2406"/>
      <c r="AD26" s="2406"/>
      <c r="AE26" s="2406"/>
      <c r="AF26" s="2406"/>
      <c r="AG26" s="2406"/>
      <c r="AH26" s="2406"/>
      <c r="AI26" s="2406"/>
      <c r="AJ26" s="2407"/>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1" t="s">
        <v>591</v>
      </c>
      <c r="C28" s="2401"/>
      <c r="D28" s="547"/>
      <c r="E28" s="2425" t="s">
        <v>2249</v>
      </c>
      <c r="F28" s="2426"/>
      <c r="G28" s="2426"/>
      <c r="H28" s="2426"/>
      <c r="I28" s="2426"/>
      <c r="J28" s="2426"/>
      <c r="K28" s="2426"/>
      <c r="L28" s="2426"/>
      <c r="M28" s="2426"/>
      <c r="N28" s="2426"/>
      <c r="O28" s="2426"/>
      <c r="P28" s="2426"/>
      <c r="Q28" s="2426"/>
      <c r="R28" s="2426"/>
      <c r="S28" s="2426"/>
      <c r="T28" s="2426"/>
      <c r="U28" s="2426"/>
      <c r="V28" s="2426"/>
      <c r="W28" s="2426"/>
      <c r="X28" s="2426"/>
      <c r="Y28" s="2426"/>
      <c r="Z28" s="2426"/>
      <c r="AA28" s="2426"/>
      <c r="AB28" s="2426"/>
      <c r="AC28" s="2426"/>
      <c r="AD28" s="2426"/>
      <c r="AE28" s="2426"/>
      <c r="AF28" s="2426"/>
      <c r="AG28" s="2426"/>
      <c r="AH28" s="2426"/>
      <c r="AI28" s="2426"/>
      <c r="AJ28" s="2427"/>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401" t="s">
        <v>591</v>
      </c>
      <c r="C33" s="2401"/>
      <c r="D33" s="547"/>
      <c r="E33" s="2437" t="s">
        <v>2251</v>
      </c>
      <c r="F33" s="2438"/>
      <c r="G33" s="2438"/>
      <c r="H33" s="2438"/>
      <c r="I33" s="2438"/>
      <c r="J33" s="2438"/>
      <c r="K33" s="2438"/>
      <c r="L33" s="2438"/>
      <c r="M33" s="2438"/>
      <c r="N33" s="2438"/>
      <c r="O33" s="2438"/>
      <c r="P33" s="2438"/>
      <c r="Q33" s="2438"/>
      <c r="R33" s="2438"/>
      <c r="S33" s="2438"/>
      <c r="T33" s="2438"/>
      <c r="U33" s="2438"/>
      <c r="V33" s="2438"/>
      <c r="W33" s="2438"/>
      <c r="X33" s="2438"/>
      <c r="Y33" s="2438"/>
      <c r="Z33" s="2438"/>
      <c r="AA33" s="2438"/>
      <c r="AB33" s="2438"/>
      <c r="AC33" s="2438"/>
      <c r="AD33" s="2438"/>
      <c r="AE33" s="2438"/>
      <c r="AF33" s="2438"/>
      <c r="AG33" s="2438"/>
      <c r="AH33" s="2438"/>
      <c r="AI33" s="2438"/>
      <c r="AJ33" s="2439"/>
      <c r="AK33" s="540"/>
      <c r="AL33" s="540"/>
      <c r="AM33" s="540"/>
      <c r="AN33" s="535"/>
      <c r="AO33" s="550"/>
    </row>
    <row r="34" spans="1:41" s="536" customFormat="1" ht="12.75" customHeight="1">
      <c r="A34" s="540"/>
      <c r="B34" s="540"/>
      <c r="C34" s="540"/>
      <c r="E34" s="2440"/>
      <c r="F34" s="2441"/>
      <c r="G34" s="2441"/>
      <c r="H34" s="2441"/>
      <c r="I34" s="2441"/>
      <c r="J34" s="2441"/>
      <c r="K34" s="2441"/>
      <c r="L34" s="2441"/>
      <c r="M34" s="2441"/>
      <c r="N34" s="2441"/>
      <c r="O34" s="2441"/>
      <c r="P34" s="2441"/>
      <c r="Q34" s="2441"/>
      <c r="R34" s="2441"/>
      <c r="S34" s="2441"/>
      <c r="T34" s="2441"/>
      <c r="U34" s="2441"/>
      <c r="V34" s="2441"/>
      <c r="W34" s="2441"/>
      <c r="X34" s="2441"/>
      <c r="Y34" s="2441"/>
      <c r="Z34" s="2441"/>
      <c r="AA34" s="2441"/>
      <c r="AB34" s="2441"/>
      <c r="AC34" s="2441"/>
      <c r="AD34" s="2441"/>
      <c r="AE34" s="2441"/>
      <c r="AF34" s="2441"/>
      <c r="AG34" s="2441"/>
      <c r="AH34" s="2441"/>
      <c r="AI34" s="2441"/>
      <c r="AJ34" s="2442"/>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1" t="s">
        <v>591</v>
      </c>
      <c r="C36" s="2401"/>
      <c r="D36" s="547"/>
      <c r="E36" s="2402" t="s">
        <v>2252</v>
      </c>
      <c r="F36" s="2403"/>
      <c r="G36" s="2403"/>
      <c r="H36" s="2403"/>
      <c r="I36" s="2403"/>
      <c r="J36" s="2403"/>
      <c r="K36" s="2403"/>
      <c r="L36" s="2403"/>
      <c r="M36" s="2403"/>
      <c r="N36" s="2403"/>
      <c r="O36" s="2403"/>
      <c r="P36" s="2403"/>
      <c r="Q36" s="2403"/>
      <c r="R36" s="2403"/>
      <c r="S36" s="2403"/>
      <c r="T36" s="2403"/>
      <c r="U36" s="2403"/>
      <c r="V36" s="2403"/>
      <c r="W36" s="2403"/>
      <c r="X36" s="2403"/>
      <c r="Y36" s="2403"/>
      <c r="Z36" s="2403"/>
      <c r="AA36" s="2403"/>
      <c r="AB36" s="2403"/>
      <c r="AC36" s="2403"/>
      <c r="AD36" s="2403"/>
      <c r="AE36" s="2403"/>
      <c r="AF36" s="2403"/>
      <c r="AG36" s="2403"/>
      <c r="AH36" s="2403"/>
      <c r="AI36" s="2403"/>
      <c r="AJ36" s="2404"/>
      <c r="AK36" s="540"/>
      <c r="AL36" s="540"/>
      <c r="AM36" s="540"/>
      <c r="AN36" s="535"/>
    </row>
    <row r="37" spans="1:41" s="536" customFormat="1" ht="12.75" customHeight="1">
      <c r="A37" s="540"/>
      <c r="B37" s="540"/>
      <c r="C37" s="540"/>
      <c r="E37" s="2408"/>
      <c r="F37" s="2409"/>
      <c r="G37" s="2409"/>
      <c r="H37" s="2409"/>
      <c r="I37" s="2409"/>
      <c r="J37" s="2409"/>
      <c r="K37" s="2409"/>
      <c r="L37" s="2409"/>
      <c r="M37" s="2409"/>
      <c r="N37" s="2409"/>
      <c r="O37" s="2409"/>
      <c r="P37" s="2409"/>
      <c r="Q37" s="2409"/>
      <c r="R37" s="2409"/>
      <c r="S37" s="2409"/>
      <c r="T37" s="2409"/>
      <c r="U37" s="2409"/>
      <c r="V37" s="2409"/>
      <c r="W37" s="2409"/>
      <c r="X37" s="2409"/>
      <c r="Y37" s="2409"/>
      <c r="Z37" s="2409"/>
      <c r="AA37" s="2409"/>
      <c r="AB37" s="2409"/>
      <c r="AC37" s="2409"/>
      <c r="AD37" s="2409"/>
      <c r="AE37" s="2409"/>
      <c r="AF37" s="2409"/>
      <c r="AG37" s="2409"/>
      <c r="AH37" s="2409"/>
      <c r="AI37" s="2409"/>
      <c r="AJ37" s="2410"/>
      <c r="AK37" s="540"/>
      <c r="AL37" s="540"/>
      <c r="AM37" s="540"/>
      <c r="AN37" s="535"/>
    </row>
    <row r="38" spans="1:41" s="536" customFormat="1" ht="12.75" customHeight="1">
      <c r="A38" s="540"/>
      <c r="B38" s="540"/>
      <c r="C38" s="540"/>
      <c r="E38" s="2405"/>
      <c r="F38" s="2406"/>
      <c r="G38" s="2406"/>
      <c r="H38" s="2406"/>
      <c r="I38" s="2406"/>
      <c r="J38" s="2406"/>
      <c r="K38" s="2406"/>
      <c r="L38" s="2406"/>
      <c r="M38" s="2406"/>
      <c r="N38" s="2406"/>
      <c r="O38" s="2406"/>
      <c r="P38" s="2406"/>
      <c r="Q38" s="2406"/>
      <c r="R38" s="2406"/>
      <c r="S38" s="2406"/>
      <c r="T38" s="2406"/>
      <c r="U38" s="2406"/>
      <c r="V38" s="2406"/>
      <c r="W38" s="2406"/>
      <c r="X38" s="2406"/>
      <c r="Y38" s="2406"/>
      <c r="Z38" s="2406"/>
      <c r="AA38" s="2406"/>
      <c r="AB38" s="2406"/>
      <c r="AC38" s="2406"/>
      <c r="AD38" s="2406"/>
      <c r="AE38" s="2406"/>
      <c r="AF38" s="2406"/>
      <c r="AG38" s="2406"/>
      <c r="AH38" s="2406"/>
      <c r="AI38" s="2406"/>
      <c r="AJ38" s="2407"/>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1" t="s">
        <v>591</v>
      </c>
      <c r="C40" s="2401"/>
      <c r="D40" s="547"/>
      <c r="E40" s="2402" t="s">
        <v>2250</v>
      </c>
      <c r="F40" s="2403"/>
      <c r="G40" s="2403"/>
      <c r="H40" s="2403"/>
      <c r="I40" s="2403"/>
      <c r="J40" s="2403"/>
      <c r="K40" s="2403"/>
      <c r="L40" s="2403"/>
      <c r="M40" s="2403"/>
      <c r="N40" s="2403"/>
      <c r="O40" s="2403"/>
      <c r="P40" s="2403"/>
      <c r="Q40" s="2403"/>
      <c r="R40" s="2403"/>
      <c r="S40" s="2403"/>
      <c r="T40" s="2403"/>
      <c r="U40" s="2403"/>
      <c r="V40" s="2403"/>
      <c r="W40" s="2403"/>
      <c r="X40" s="2403"/>
      <c r="Y40" s="2403"/>
      <c r="Z40" s="2403"/>
      <c r="AA40" s="2403"/>
      <c r="AB40" s="2403"/>
      <c r="AC40" s="2403"/>
      <c r="AD40" s="2403"/>
      <c r="AE40" s="2403"/>
      <c r="AF40" s="2403"/>
      <c r="AG40" s="2403"/>
      <c r="AH40" s="2403"/>
      <c r="AI40" s="2403"/>
      <c r="AJ40" s="2404"/>
      <c r="AK40" s="540"/>
      <c r="AL40" s="540"/>
      <c r="AM40" s="540"/>
      <c r="AN40" s="535"/>
    </row>
    <row r="41" spans="1:41" s="536" customFormat="1" ht="12.75" customHeight="1">
      <c r="A41" s="540"/>
      <c r="B41" s="540"/>
      <c r="C41" s="540"/>
      <c r="E41" s="2405"/>
      <c r="F41" s="2406"/>
      <c r="G41" s="2406"/>
      <c r="H41" s="2406"/>
      <c r="I41" s="2406"/>
      <c r="J41" s="2406"/>
      <c r="K41" s="2406"/>
      <c r="L41" s="2406"/>
      <c r="M41" s="2406"/>
      <c r="N41" s="2406"/>
      <c r="O41" s="2406"/>
      <c r="P41" s="2406"/>
      <c r="Q41" s="2406"/>
      <c r="R41" s="2406"/>
      <c r="S41" s="2406"/>
      <c r="T41" s="2406"/>
      <c r="U41" s="2406"/>
      <c r="V41" s="2406"/>
      <c r="W41" s="2406"/>
      <c r="X41" s="2406"/>
      <c r="Y41" s="2406"/>
      <c r="Z41" s="2406"/>
      <c r="AA41" s="2406"/>
      <c r="AB41" s="2406"/>
      <c r="AC41" s="2406"/>
      <c r="AD41" s="2406"/>
      <c r="AE41" s="2406"/>
      <c r="AF41" s="2406"/>
      <c r="AG41" s="2406"/>
      <c r="AH41" s="2406"/>
      <c r="AI41" s="2406"/>
      <c r="AJ41" s="2407"/>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1"/>
      <c r="D44" s="1141"/>
      <c r="E44" s="1141"/>
      <c r="F44" s="1141"/>
      <c r="G44" s="1141"/>
      <c r="H44" s="1141"/>
      <c r="I44" s="1141"/>
      <c r="J44" s="1141"/>
      <c r="K44" s="1141"/>
      <c r="L44" s="1141"/>
      <c r="M44" s="1141"/>
      <c r="N44" s="1141"/>
      <c r="O44" s="1141"/>
      <c r="P44" s="1141"/>
      <c r="Q44" s="1141"/>
      <c r="R44" s="1141"/>
      <c r="S44" s="1141"/>
      <c r="T44" s="1141"/>
      <c r="U44" s="1141"/>
      <c r="V44" s="1141"/>
      <c r="W44" s="1141"/>
      <c r="X44" s="1141"/>
      <c r="Y44" s="1141"/>
      <c r="Z44" s="1141"/>
      <c r="AA44" s="1141"/>
      <c r="AB44" s="1141"/>
      <c r="AC44" s="1141"/>
      <c r="AD44" s="1141"/>
      <c r="AE44" s="1141"/>
      <c r="AF44" s="1141"/>
      <c r="AG44" s="1141"/>
      <c r="AH44" s="1141"/>
      <c r="AI44" s="1141"/>
      <c r="AJ44" s="1141"/>
      <c r="AK44" s="1141"/>
      <c r="AL44" s="540"/>
      <c r="AM44" s="540"/>
      <c r="AN44" s="535"/>
    </row>
    <row r="45" spans="1:41" s="536" customFormat="1" ht="12.75" customHeight="1">
      <c r="A45" s="540"/>
      <c r="B45" s="2401" t="s">
        <v>591</v>
      </c>
      <c r="C45" s="2401"/>
      <c r="D45" s="1141"/>
      <c r="E45" s="2402" t="s">
        <v>2008</v>
      </c>
      <c r="F45" s="2403"/>
      <c r="G45" s="2403"/>
      <c r="H45" s="2403"/>
      <c r="I45" s="2403"/>
      <c r="J45" s="2403"/>
      <c r="K45" s="2403"/>
      <c r="L45" s="2403"/>
      <c r="M45" s="2403"/>
      <c r="N45" s="2403"/>
      <c r="O45" s="2403"/>
      <c r="P45" s="2403"/>
      <c r="Q45" s="2403"/>
      <c r="R45" s="2403"/>
      <c r="S45" s="2403"/>
      <c r="T45" s="2403"/>
      <c r="U45" s="2403"/>
      <c r="V45" s="2403"/>
      <c r="W45" s="2403"/>
      <c r="X45" s="2403"/>
      <c r="Y45" s="2403"/>
      <c r="Z45" s="2403"/>
      <c r="AA45" s="2403"/>
      <c r="AB45" s="2403"/>
      <c r="AC45" s="2403"/>
      <c r="AD45" s="2403"/>
      <c r="AE45" s="2403"/>
      <c r="AF45" s="2403"/>
      <c r="AG45" s="2403"/>
      <c r="AH45" s="2403"/>
      <c r="AI45" s="2403"/>
      <c r="AJ45" s="2404"/>
      <c r="AK45" s="1141"/>
      <c r="AL45" s="540"/>
      <c r="AM45" s="540"/>
      <c r="AN45" s="535"/>
    </row>
    <row r="46" spans="1:41" s="536" customFormat="1" ht="12.75" customHeight="1">
      <c r="A46" s="540"/>
      <c r="B46" s="540"/>
      <c r="C46" s="540"/>
      <c r="E46" s="2408"/>
      <c r="F46" s="2409"/>
      <c r="G46" s="2409"/>
      <c r="H46" s="2409"/>
      <c r="I46" s="2409"/>
      <c r="J46" s="2409"/>
      <c r="K46" s="2409"/>
      <c r="L46" s="2409"/>
      <c r="M46" s="2409"/>
      <c r="N46" s="2409"/>
      <c r="O46" s="2409"/>
      <c r="P46" s="2409"/>
      <c r="Q46" s="2409"/>
      <c r="R46" s="2409"/>
      <c r="S46" s="2409"/>
      <c r="T46" s="2409"/>
      <c r="U46" s="2409"/>
      <c r="V46" s="2409"/>
      <c r="W46" s="2409"/>
      <c r="X46" s="2409"/>
      <c r="Y46" s="2409"/>
      <c r="Z46" s="2409"/>
      <c r="AA46" s="2409"/>
      <c r="AB46" s="2409"/>
      <c r="AC46" s="2409"/>
      <c r="AD46" s="2409"/>
      <c r="AE46" s="2409"/>
      <c r="AF46" s="2409"/>
      <c r="AG46" s="2409"/>
      <c r="AH46" s="2409"/>
      <c r="AI46" s="2409"/>
      <c r="AJ46" s="2410"/>
      <c r="AK46" s="540"/>
      <c r="AL46" s="540"/>
      <c r="AM46" s="540"/>
      <c r="AN46" s="535"/>
    </row>
    <row r="47" spans="1:41" s="536" customFormat="1" ht="12.75" customHeight="1">
      <c r="A47" s="540"/>
      <c r="D47" s="547"/>
      <c r="E47" s="2405"/>
      <c r="F47" s="2406"/>
      <c r="G47" s="2406"/>
      <c r="H47" s="2406"/>
      <c r="I47" s="2406"/>
      <c r="J47" s="2406"/>
      <c r="K47" s="2406"/>
      <c r="L47" s="2406"/>
      <c r="M47" s="2406"/>
      <c r="N47" s="2406"/>
      <c r="O47" s="2406"/>
      <c r="P47" s="2406"/>
      <c r="Q47" s="2406"/>
      <c r="R47" s="2406"/>
      <c r="S47" s="2406"/>
      <c r="T47" s="2406"/>
      <c r="U47" s="2406"/>
      <c r="V47" s="2406"/>
      <c r="W47" s="2406"/>
      <c r="X47" s="2406"/>
      <c r="Y47" s="2406"/>
      <c r="Z47" s="2406"/>
      <c r="AA47" s="2406"/>
      <c r="AB47" s="2406"/>
      <c r="AC47" s="2406"/>
      <c r="AD47" s="2406"/>
      <c r="AE47" s="2406"/>
      <c r="AF47" s="2406"/>
      <c r="AG47" s="2406"/>
      <c r="AH47" s="2406"/>
      <c r="AI47" s="2406"/>
      <c r="AJ47" s="2407"/>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0"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1" t="s">
        <v>591</v>
      </c>
      <c r="C52" s="2401"/>
      <c r="D52" s="540"/>
      <c r="E52" s="2402" t="s">
        <v>2013</v>
      </c>
      <c r="F52" s="2403"/>
      <c r="G52" s="2403"/>
      <c r="H52" s="2403"/>
      <c r="I52" s="2403"/>
      <c r="J52" s="2403"/>
      <c r="K52" s="2403"/>
      <c r="L52" s="2403"/>
      <c r="M52" s="2403"/>
      <c r="N52" s="2403"/>
      <c r="O52" s="2403"/>
      <c r="P52" s="2403"/>
      <c r="Q52" s="2403"/>
      <c r="R52" s="2403"/>
      <c r="S52" s="2403"/>
      <c r="T52" s="2403"/>
      <c r="U52" s="2403"/>
      <c r="V52" s="2403"/>
      <c r="W52" s="2403"/>
      <c r="X52" s="2403"/>
      <c r="Y52" s="2403"/>
      <c r="Z52" s="2403"/>
      <c r="AA52" s="2403"/>
      <c r="AB52" s="2403"/>
      <c r="AC52" s="2403"/>
      <c r="AD52" s="2403"/>
      <c r="AE52" s="2403"/>
      <c r="AF52" s="2403"/>
      <c r="AG52" s="2403"/>
      <c r="AH52" s="2403"/>
      <c r="AI52" s="2403"/>
      <c r="AJ52" s="2404"/>
      <c r="AK52" s="540"/>
      <c r="AL52" s="540"/>
      <c r="AM52" s="540"/>
      <c r="AN52" s="535"/>
      <c r="AO52" s="559"/>
    </row>
    <row r="53" spans="1:50" s="536" customFormat="1" ht="12.75" customHeight="1">
      <c r="A53" s="540"/>
      <c r="D53" s="547"/>
      <c r="E53" s="2408"/>
      <c r="F53" s="2409"/>
      <c r="G53" s="2409"/>
      <c r="H53" s="2409"/>
      <c r="I53" s="2409"/>
      <c r="J53" s="2409"/>
      <c r="K53" s="2409"/>
      <c r="L53" s="2409"/>
      <c r="M53" s="2409"/>
      <c r="N53" s="2409"/>
      <c r="O53" s="2409"/>
      <c r="P53" s="2409"/>
      <c r="Q53" s="2409"/>
      <c r="R53" s="2409"/>
      <c r="S53" s="2409"/>
      <c r="T53" s="2409"/>
      <c r="U53" s="2409"/>
      <c r="V53" s="2409"/>
      <c r="W53" s="2409"/>
      <c r="X53" s="2409"/>
      <c r="Y53" s="2409"/>
      <c r="Z53" s="2409"/>
      <c r="AA53" s="2409"/>
      <c r="AB53" s="2409"/>
      <c r="AC53" s="2409"/>
      <c r="AD53" s="2409"/>
      <c r="AE53" s="2409"/>
      <c r="AF53" s="2409"/>
      <c r="AG53" s="2409"/>
      <c r="AH53" s="2409"/>
      <c r="AI53" s="2409"/>
      <c r="AJ53" s="2410"/>
      <c r="AK53" s="540"/>
      <c r="AL53" s="540"/>
      <c r="AM53" s="540"/>
      <c r="AN53" s="535"/>
      <c r="AO53" s="559"/>
    </row>
    <row r="54" spans="1:50" s="536" customFormat="1" ht="12.75" customHeight="1">
      <c r="A54" s="540"/>
      <c r="D54" s="540"/>
      <c r="E54" s="2405"/>
      <c r="F54" s="2406"/>
      <c r="G54" s="2406"/>
      <c r="H54" s="2406"/>
      <c r="I54" s="2406"/>
      <c r="J54" s="2406"/>
      <c r="K54" s="2406"/>
      <c r="L54" s="2406"/>
      <c r="M54" s="2406"/>
      <c r="N54" s="2406"/>
      <c r="O54" s="2406"/>
      <c r="P54" s="2406"/>
      <c r="Q54" s="2406"/>
      <c r="R54" s="2406"/>
      <c r="S54" s="2406"/>
      <c r="T54" s="2406"/>
      <c r="U54" s="2406"/>
      <c r="V54" s="2406"/>
      <c r="W54" s="2406"/>
      <c r="X54" s="2406"/>
      <c r="Y54" s="2406"/>
      <c r="Z54" s="2406"/>
      <c r="AA54" s="2406"/>
      <c r="AB54" s="2406"/>
      <c r="AC54" s="2406"/>
      <c r="AD54" s="2406"/>
      <c r="AE54" s="2406"/>
      <c r="AF54" s="2406"/>
      <c r="AG54" s="2406"/>
      <c r="AH54" s="2406"/>
      <c r="AI54" s="2406"/>
      <c r="AJ54" s="2407"/>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1" t="s">
        <v>591</v>
      </c>
      <c r="C56" s="2401"/>
      <c r="D56" s="540"/>
      <c r="E56" s="2422" t="s">
        <v>2014</v>
      </c>
      <c r="F56" s="2423"/>
      <c r="G56" s="2423"/>
      <c r="H56" s="2423"/>
      <c r="I56" s="2423"/>
      <c r="J56" s="2423"/>
      <c r="K56" s="2423"/>
      <c r="L56" s="2423"/>
      <c r="M56" s="2423"/>
      <c r="N56" s="2423"/>
      <c r="O56" s="2423"/>
      <c r="P56" s="2423"/>
      <c r="Q56" s="2423"/>
      <c r="R56" s="2423"/>
      <c r="S56" s="2423"/>
      <c r="T56" s="2423"/>
      <c r="U56" s="2423"/>
      <c r="V56" s="2423"/>
      <c r="W56" s="2423"/>
      <c r="X56" s="2423"/>
      <c r="Y56" s="2423"/>
      <c r="Z56" s="2423"/>
      <c r="AA56" s="2423"/>
      <c r="AB56" s="2423"/>
      <c r="AC56" s="2423"/>
      <c r="AD56" s="2423"/>
      <c r="AE56" s="2423"/>
      <c r="AF56" s="2423"/>
      <c r="AG56" s="2423"/>
      <c r="AH56" s="2423"/>
      <c r="AI56" s="2423"/>
      <c r="AJ56" s="2424"/>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1" t="s">
        <v>591</v>
      </c>
      <c r="C58" s="2401"/>
      <c r="D58" s="540"/>
      <c r="E58" s="2402" t="s">
        <v>2015</v>
      </c>
      <c r="F58" s="2403"/>
      <c r="G58" s="2403"/>
      <c r="H58" s="2403"/>
      <c r="I58" s="2403"/>
      <c r="J58" s="2403"/>
      <c r="K58" s="2403"/>
      <c r="L58" s="2403"/>
      <c r="M58" s="2403"/>
      <c r="N58" s="2403"/>
      <c r="O58" s="2403"/>
      <c r="P58" s="2403"/>
      <c r="Q58" s="2403"/>
      <c r="R58" s="2403"/>
      <c r="S58" s="2403"/>
      <c r="T58" s="2403"/>
      <c r="U58" s="2403"/>
      <c r="V58" s="2403"/>
      <c r="W58" s="2403"/>
      <c r="X58" s="2403"/>
      <c r="Y58" s="2403"/>
      <c r="Z58" s="2403"/>
      <c r="AA58" s="2403"/>
      <c r="AB58" s="2403"/>
      <c r="AC58" s="2403"/>
      <c r="AD58" s="2403"/>
      <c r="AE58" s="2403"/>
      <c r="AF58" s="2403"/>
      <c r="AG58" s="2403"/>
      <c r="AH58" s="2403"/>
      <c r="AI58" s="2403"/>
      <c r="AJ58" s="2404"/>
      <c r="AK58" s="540"/>
      <c r="AL58" s="540"/>
      <c r="AM58" s="540"/>
      <c r="AN58" s="535"/>
    </row>
    <row r="59" spans="1:50" s="536" customFormat="1" ht="12.75" customHeight="1">
      <c r="A59" s="540"/>
      <c r="B59" s="547"/>
      <c r="C59" s="547"/>
      <c r="D59" s="547"/>
      <c r="E59" s="2405"/>
      <c r="F59" s="2406"/>
      <c r="G59" s="2406"/>
      <c r="H59" s="2406"/>
      <c r="I59" s="2406"/>
      <c r="J59" s="2406"/>
      <c r="K59" s="2406"/>
      <c r="L59" s="2406"/>
      <c r="M59" s="2406"/>
      <c r="N59" s="2406"/>
      <c r="O59" s="2406"/>
      <c r="P59" s="2406"/>
      <c r="Q59" s="2406"/>
      <c r="R59" s="2406"/>
      <c r="S59" s="2406"/>
      <c r="T59" s="2406"/>
      <c r="U59" s="2406"/>
      <c r="V59" s="2406"/>
      <c r="W59" s="2406"/>
      <c r="X59" s="2406"/>
      <c r="Y59" s="2406"/>
      <c r="Z59" s="2406"/>
      <c r="AA59" s="2406"/>
      <c r="AB59" s="2406"/>
      <c r="AC59" s="2406"/>
      <c r="AD59" s="2406"/>
      <c r="AE59" s="2406"/>
      <c r="AF59" s="2406"/>
      <c r="AG59" s="2406"/>
      <c r="AH59" s="2406"/>
      <c r="AI59" s="2406"/>
      <c r="AJ59" s="2407"/>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434">
        <f>AO39</f>
        <v>0</v>
      </c>
      <c r="AL62" s="2435"/>
      <c r="AM62" s="2436"/>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1" t="s">
        <v>1313</v>
      </c>
      <c r="AF65" s="2411"/>
      <c r="AG65" s="2411"/>
      <c r="AH65" s="2411"/>
      <c r="AI65" s="2411"/>
      <c r="AJ65" s="2411"/>
      <c r="AK65" s="2411"/>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1" t="s">
        <v>591</v>
      </c>
      <c r="C68" s="2401"/>
      <c r="D68" s="547" t="s">
        <v>1314</v>
      </c>
      <c r="E68" s="2412" t="s">
        <v>2016</v>
      </c>
      <c r="F68" s="2413"/>
      <c r="G68" s="2413"/>
      <c r="H68" s="2413"/>
      <c r="I68" s="2413"/>
      <c r="J68" s="2413"/>
      <c r="K68" s="2413"/>
      <c r="L68" s="2413"/>
      <c r="M68" s="2413"/>
      <c r="N68" s="2413"/>
      <c r="O68" s="2413"/>
      <c r="P68" s="2413"/>
      <c r="Q68" s="2413"/>
      <c r="R68" s="2413"/>
      <c r="S68" s="2413"/>
      <c r="T68" s="2413"/>
      <c r="U68" s="2413"/>
      <c r="V68" s="2413"/>
      <c r="W68" s="2413"/>
      <c r="X68" s="2413"/>
      <c r="Y68" s="2413"/>
      <c r="Z68" s="2413"/>
      <c r="AA68" s="2413"/>
      <c r="AB68" s="2413"/>
      <c r="AC68" s="2413"/>
      <c r="AD68" s="2413"/>
      <c r="AE68" s="2413"/>
      <c r="AF68" s="2413"/>
      <c r="AG68" s="2413"/>
      <c r="AH68" s="2413"/>
      <c r="AI68" s="2413"/>
      <c r="AJ68" s="2414"/>
      <c r="AK68" s="543"/>
      <c r="AL68" s="540"/>
      <c r="AM68" s="540"/>
      <c r="AN68" s="535"/>
      <c r="AO68" s="550">
        <f>IF($B68="yes",10,0)</f>
        <v>0</v>
      </c>
    </row>
    <row r="69" spans="1:42" s="536" customFormat="1" ht="12.75" customHeight="1">
      <c r="A69" s="538"/>
      <c r="B69" s="540"/>
      <c r="C69" s="540"/>
      <c r="D69" s="551"/>
      <c r="E69" s="2415"/>
      <c r="F69" s="2416"/>
      <c r="G69" s="2416"/>
      <c r="H69" s="2416"/>
      <c r="I69" s="2416"/>
      <c r="J69" s="2416"/>
      <c r="K69" s="2416"/>
      <c r="L69" s="2416"/>
      <c r="M69" s="2416"/>
      <c r="N69" s="2416"/>
      <c r="O69" s="2416"/>
      <c r="P69" s="2416"/>
      <c r="Q69" s="2416"/>
      <c r="R69" s="2416"/>
      <c r="S69" s="2416"/>
      <c r="T69" s="2416"/>
      <c r="U69" s="2416"/>
      <c r="V69" s="2416"/>
      <c r="W69" s="2416"/>
      <c r="X69" s="2416"/>
      <c r="Y69" s="2416"/>
      <c r="Z69" s="2416"/>
      <c r="AA69" s="2416"/>
      <c r="AB69" s="2416"/>
      <c r="AC69" s="2416"/>
      <c r="AD69" s="2416"/>
      <c r="AE69" s="2416"/>
      <c r="AF69" s="2416"/>
      <c r="AG69" s="2416"/>
      <c r="AH69" s="2416"/>
      <c r="AI69" s="2416"/>
      <c r="AJ69" s="2417"/>
      <c r="AK69" s="543"/>
      <c r="AL69" s="540"/>
      <c r="AM69" s="540"/>
      <c r="AN69" s="535"/>
      <c r="AO69" s="550">
        <f>IF($B74="yes",10,0)</f>
        <v>10</v>
      </c>
    </row>
    <row r="70" spans="1:42" s="536" customFormat="1" ht="12.75" customHeight="1">
      <c r="A70" s="538"/>
      <c r="B70" s="540"/>
      <c r="C70" s="540"/>
      <c r="D70" s="551"/>
      <c r="E70" s="2415"/>
      <c r="F70" s="2416"/>
      <c r="G70" s="2416"/>
      <c r="H70" s="2416"/>
      <c r="I70" s="2416"/>
      <c r="J70" s="2416"/>
      <c r="K70" s="2416"/>
      <c r="L70" s="2416"/>
      <c r="M70" s="2416"/>
      <c r="N70" s="2416"/>
      <c r="O70" s="2416"/>
      <c r="P70" s="2416"/>
      <c r="Q70" s="2416"/>
      <c r="R70" s="2416"/>
      <c r="S70" s="2416"/>
      <c r="T70" s="2416"/>
      <c r="U70" s="2416"/>
      <c r="V70" s="2416"/>
      <c r="W70" s="2416"/>
      <c r="X70" s="2416"/>
      <c r="Y70" s="2416"/>
      <c r="Z70" s="2416"/>
      <c r="AA70" s="2416"/>
      <c r="AB70" s="2416"/>
      <c r="AC70" s="2416"/>
      <c r="AD70" s="2416"/>
      <c r="AE70" s="2416"/>
      <c r="AF70" s="2416"/>
      <c r="AG70" s="2416"/>
      <c r="AH70" s="2416"/>
      <c r="AI70" s="2416"/>
      <c r="AJ70" s="2417"/>
      <c r="AK70" s="543"/>
      <c r="AL70" s="540"/>
      <c r="AM70" s="540"/>
      <c r="AN70" s="535"/>
      <c r="AO70" s="550">
        <f>IF($B81="yes",10,0)</f>
        <v>0</v>
      </c>
    </row>
    <row r="71" spans="1:42" s="536" customFormat="1" ht="12.75" customHeight="1">
      <c r="A71" s="538"/>
      <c r="B71" s="540"/>
      <c r="C71" s="540"/>
      <c r="D71" s="551"/>
      <c r="E71" s="2415"/>
      <c r="F71" s="2416"/>
      <c r="G71" s="2416"/>
      <c r="H71" s="2416"/>
      <c r="I71" s="2416"/>
      <c r="J71" s="2416"/>
      <c r="K71" s="2416"/>
      <c r="L71" s="2416"/>
      <c r="M71" s="2416"/>
      <c r="N71" s="2416"/>
      <c r="O71" s="2416"/>
      <c r="P71" s="2416"/>
      <c r="Q71" s="2416"/>
      <c r="R71" s="2416"/>
      <c r="S71" s="2416"/>
      <c r="T71" s="2416"/>
      <c r="U71" s="2416"/>
      <c r="V71" s="2416"/>
      <c r="W71" s="2416"/>
      <c r="X71" s="2416"/>
      <c r="Y71" s="2416"/>
      <c r="Z71" s="2416"/>
      <c r="AA71" s="2416"/>
      <c r="AB71" s="2416"/>
      <c r="AC71" s="2416"/>
      <c r="AD71" s="2416"/>
      <c r="AE71" s="2416"/>
      <c r="AF71" s="2416"/>
      <c r="AG71" s="2416"/>
      <c r="AH71" s="2416"/>
      <c r="AI71" s="2416"/>
      <c r="AJ71" s="2417"/>
      <c r="AK71" s="543"/>
      <c r="AL71" s="540"/>
      <c r="AM71" s="540"/>
      <c r="AN71" s="535"/>
      <c r="AO71" s="536">
        <f>IF(SUM(AO68:AO70)&gt;10,10,(SUM(AO68:AO70)))</f>
        <v>10</v>
      </c>
      <c r="AP71" s="574" t="s">
        <v>1315</v>
      </c>
    </row>
    <row r="72" spans="1:42" s="536" customFormat="1" ht="12.75" customHeight="1">
      <c r="A72" s="538"/>
      <c r="B72" s="540"/>
      <c r="C72" s="540"/>
      <c r="D72" s="551"/>
      <c r="E72" s="2418"/>
      <c r="F72" s="2419"/>
      <c r="G72" s="2419"/>
      <c r="H72" s="2419"/>
      <c r="I72" s="2419"/>
      <c r="J72" s="2419"/>
      <c r="K72" s="2419"/>
      <c r="L72" s="2419"/>
      <c r="M72" s="2419"/>
      <c r="N72" s="2419"/>
      <c r="O72" s="2419"/>
      <c r="P72" s="2419"/>
      <c r="Q72" s="2419"/>
      <c r="R72" s="2419"/>
      <c r="S72" s="2419"/>
      <c r="T72" s="2419"/>
      <c r="U72" s="2419"/>
      <c r="V72" s="2419"/>
      <c r="W72" s="2419"/>
      <c r="X72" s="2419"/>
      <c r="Y72" s="2419"/>
      <c r="Z72" s="2419"/>
      <c r="AA72" s="2419"/>
      <c r="AB72" s="2419"/>
      <c r="AC72" s="2419"/>
      <c r="AD72" s="2419"/>
      <c r="AE72" s="2419"/>
      <c r="AF72" s="2419"/>
      <c r="AG72" s="2419"/>
      <c r="AH72" s="2419"/>
      <c r="AI72" s="2419"/>
      <c r="AJ72" s="2420"/>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1" t="s">
        <v>545</v>
      </c>
      <c r="C74" s="2401"/>
      <c r="D74" s="547" t="s">
        <v>1316</v>
      </c>
      <c r="E74" s="970" t="s">
        <v>1723</v>
      </c>
      <c r="F74" s="971"/>
      <c r="G74" s="971"/>
      <c r="H74" s="971"/>
      <c r="I74" s="971"/>
      <c r="J74" s="971"/>
      <c r="K74" s="971"/>
      <c r="L74" s="971"/>
      <c r="M74" s="971"/>
      <c r="N74" s="971"/>
      <c r="O74" s="971"/>
      <c r="P74" s="971"/>
      <c r="Q74" s="971"/>
      <c r="R74" s="971"/>
      <c r="S74" s="971"/>
      <c r="T74" s="971"/>
      <c r="U74" s="971"/>
      <c r="V74" s="971"/>
      <c r="W74" s="971"/>
      <c r="X74" s="971"/>
      <c r="Y74" s="971"/>
      <c r="Z74" s="971"/>
      <c r="AA74" s="971"/>
      <c r="AB74" s="971"/>
      <c r="AC74" s="971"/>
      <c r="AD74" s="971"/>
      <c r="AE74" s="971"/>
      <c r="AF74" s="971"/>
      <c r="AG74" s="971"/>
      <c r="AH74" s="971"/>
      <c r="AI74" s="971"/>
      <c r="AJ74" s="972"/>
      <c r="AK74" s="543"/>
      <c r="AL74" s="540"/>
      <c r="AM74" s="540"/>
      <c r="AN74" s="535"/>
    </row>
    <row r="75" spans="1:42" s="536" customFormat="1" ht="12.75" customHeight="1">
      <c r="A75" s="538"/>
      <c r="B75" s="540"/>
      <c r="C75" s="540"/>
      <c r="D75" s="550"/>
      <c r="E75" s="2421" t="s">
        <v>545</v>
      </c>
      <c r="F75" s="2401"/>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3"/>
      <c r="AK75" s="543"/>
      <c r="AL75" s="540"/>
      <c r="AM75" s="540"/>
      <c r="AN75" s="535"/>
    </row>
    <row r="76" spans="1:42" s="536" customFormat="1" ht="12.75" customHeight="1">
      <c r="A76" s="538"/>
      <c r="B76" s="540"/>
      <c r="C76" s="540"/>
      <c r="D76" s="550"/>
      <c r="E76" s="2399" t="s">
        <v>591</v>
      </c>
      <c r="F76" s="2400"/>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3"/>
      <c r="AK76" s="543"/>
      <c r="AL76" s="540"/>
      <c r="AM76" s="540"/>
      <c r="AN76" s="535"/>
    </row>
    <row r="77" spans="1:42" s="536" customFormat="1" ht="12.75" customHeight="1">
      <c r="A77" s="538"/>
      <c r="B77" s="540"/>
      <c r="C77" s="540"/>
      <c r="D77" s="550"/>
      <c r="E77" s="2399" t="s">
        <v>591</v>
      </c>
      <c r="F77" s="2400"/>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3"/>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3"/>
      <c r="AK78" s="543"/>
      <c r="AL78" s="540"/>
      <c r="AM78" s="540"/>
      <c r="AN78" s="535"/>
    </row>
    <row r="79" spans="1:42" s="536" customFormat="1" ht="12.75" customHeight="1">
      <c r="A79" s="538"/>
      <c r="B79" s="540"/>
      <c r="C79" s="540"/>
      <c r="D79" s="550"/>
      <c r="E79" s="2421" t="s">
        <v>591</v>
      </c>
      <c r="F79" s="2401"/>
      <c r="G79" s="906"/>
      <c r="H79" s="975"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1" t="s">
        <v>591</v>
      </c>
      <c r="C81" s="2401"/>
      <c r="D81" s="547" t="s">
        <v>1319</v>
      </c>
      <c r="E81" s="2402" t="s">
        <v>1739</v>
      </c>
      <c r="F81" s="2403"/>
      <c r="G81" s="2403"/>
      <c r="H81" s="2403"/>
      <c r="I81" s="2403"/>
      <c r="J81" s="2403"/>
      <c r="K81" s="2403"/>
      <c r="L81" s="2403"/>
      <c r="M81" s="2403"/>
      <c r="N81" s="2403"/>
      <c r="O81" s="2403"/>
      <c r="P81" s="2403"/>
      <c r="Q81" s="2403"/>
      <c r="R81" s="2403"/>
      <c r="S81" s="2403"/>
      <c r="T81" s="2403"/>
      <c r="U81" s="2403"/>
      <c r="V81" s="2403"/>
      <c r="W81" s="2403"/>
      <c r="X81" s="2403"/>
      <c r="Y81" s="2403"/>
      <c r="Z81" s="2403"/>
      <c r="AA81" s="2403"/>
      <c r="AB81" s="2403"/>
      <c r="AC81" s="2403"/>
      <c r="AD81" s="2403"/>
      <c r="AE81" s="2403"/>
      <c r="AF81" s="2403"/>
      <c r="AG81" s="2403"/>
      <c r="AH81" s="2403"/>
      <c r="AI81" s="2403"/>
      <c r="AJ81" s="2404"/>
      <c r="AK81" s="543"/>
      <c r="AL81" s="540"/>
      <c r="AM81" s="540"/>
      <c r="AN81" s="535"/>
    </row>
    <row r="82" spans="1:43" s="536" customFormat="1" ht="12.75" customHeight="1">
      <c r="A82" s="538"/>
      <c r="B82" s="540"/>
      <c r="C82" s="540"/>
      <c r="D82" s="550"/>
      <c r="E82" s="2405"/>
      <c r="F82" s="2406"/>
      <c r="G82" s="2406"/>
      <c r="H82" s="2406"/>
      <c r="I82" s="2406"/>
      <c r="J82" s="2406"/>
      <c r="K82" s="2406"/>
      <c r="L82" s="2406"/>
      <c r="M82" s="2406"/>
      <c r="N82" s="2406"/>
      <c r="O82" s="2406"/>
      <c r="P82" s="2406"/>
      <c r="Q82" s="2406"/>
      <c r="R82" s="2406"/>
      <c r="S82" s="2406"/>
      <c r="T82" s="2406"/>
      <c r="U82" s="2406"/>
      <c r="V82" s="2406"/>
      <c r="W82" s="2406"/>
      <c r="X82" s="2406"/>
      <c r="Y82" s="2406"/>
      <c r="Z82" s="2406"/>
      <c r="AA82" s="2406"/>
      <c r="AB82" s="2406"/>
      <c r="AC82" s="2406"/>
      <c r="AD82" s="2406"/>
      <c r="AE82" s="2406"/>
      <c r="AF82" s="2406"/>
      <c r="AG82" s="2406"/>
      <c r="AH82" s="2406"/>
      <c r="AI82" s="2406"/>
      <c r="AJ82" s="2407"/>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434">
        <f>IF(AK62&gt;0,0,AO71)</f>
        <v>10</v>
      </c>
      <c r="AL84" s="2435"/>
      <c r="AM84" s="2436"/>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1" t="s">
        <v>1304</v>
      </c>
      <c r="AF87" s="2411"/>
      <c r="AG87" s="2411"/>
      <c r="AH87" s="2411"/>
      <c r="AI87" s="2411"/>
      <c r="AJ87" s="2411"/>
      <c r="AK87" s="2411"/>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1" t="s">
        <v>591</v>
      </c>
      <c r="C90" s="2401"/>
      <c r="D90" s="547" t="s">
        <v>1314</v>
      </c>
      <c r="E90" s="2412" t="s">
        <v>1324</v>
      </c>
      <c r="F90" s="2413"/>
      <c r="G90" s="2413"/>
      <c r="H90" s="2413"/>
      <c r="I90" s="2413"/>
      <c r="J90" s="2413"/>
      <c r="K90" s="2413"/>
      <c r="L90" s="2413"/>
      <c r="M90" s="2413"/>
      <c r="N90" s="2413"/>
      <c r="O90" s="2413"/>
      <c r="P90" s="2413"/>
      <c r="Q90" s="2413"/>
      <c r="R90" s="2413"/>
      <c r="S90" s="2413"/>
      <c r="T90" s="2413"/>
      <c r="U90" s="2413"/>
      <c r="V90" s="2413"/>
      <c r="W90" s="2413"/>
      <c r="X90" s="2413"/>
      <c r="Y90" s="2413"/>
      <c r="Z90" s="2413"/>
      <c r="AA90" s="2413"/>
      <c r="AB90" s="2413"/>
      <c r="AC90" s="2413"/>
      <c r="AD90" s="2413"/>
      <c r="AE90" s="2413"/>
      <c r="AF90" s="2413"/>
      <c r="AG90" s="2413"/>
      <c r="AH90" s="2413"/>
      <c r="AI90" s="2413"/>
      <c r="AJ90" s="2414"/>
      <c r="AK90" s="543"/>
      <c r="AL90" s="540"/>
      <c r="AM90" s="540"/>
      <c r="AN90" s="535"/>
    </row>
    <row r="91" spans="1:43" s="536" customFormat="1" ht="12.75" customHeight="1">
      <c r="A91" s="538"/>
      <c r="B91" s="539"/>
      <c r="C91" s="539"/>
      <c r="D91" s="539"/>
      <c r="E91" s="2415"/>
      <c r="F91" s="2416"/>
      <c r="G91" s="2416"/>
      <c r="H91" s="2416"/>
      <c r="I91" s="2416"/>
      <c r="J91" s="2416"/>
      <c r="K91" s="2416"/>
      <c r="L91" s="2416"/>
      <c r="M91" s="2416"/>
      <c r="N91" s="2416"/>
      <c r="O91" s="2416"/>
      <c r="P91" s="2416"/>
      <c r="Q91" s="2416"/>
      <c r="R91" s="2416"/>
      <c r="S91" s="2416"/>
      <c r="T91" s="2416"/>
      <c r="U91" s="2416"/>
      <c r="V91" s="2416"/>
      <c r="W91" s="2416"/>
      <c r="X91" s="2416"/>
      <c r="Y91" s="2416"/>
      <c r="Z91" s="2416"/>
      <c r="AA91" s="2416"/>
      <c r="AB91" s="2416"/>
      <c r="AC91" s="2416"/>
      <c r="AD91" s="2416"/>
      <c r="AE91" s="2416"/>
      <c r="AF91" s="2416"/>
      <c r="AG91" s="2416"/>
      <c r="AH91" s="2416"/>
      <c r="AI91" s="2416"/>
      <c r="AJ91" s="2417"/>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5">
        <f>Application!AC753</f>
        <v>0.6</v>
      </c>
      <c r="F93" s="2396"/>
      <c r="G93" s="2396"/>
      <c r="H93" s="2396"/>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7">
        <f>0.6-ROUNDUP(E93,2)</f>
        <v>0</v>
      </c>
      <c r="F94" s="2398"/>
      <c r="G94" s="2398"/>
      <c r="H94" s="2398"/>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8">
        <f>IF(E94*200&gt;20,20,E94*200)</f>
        <v>0</v>
      </c>
      <c r="F95" s="2429"/>
      <c r="G95" s="2429"/>
      <c r="H95" s="2429"/>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1" t="s">
        <v>545</v>
      </c>
      <c r="C98" s="2401"/>
      <c r="D98" s="547" t="s">
        <v>1316</v>
      </c>
      <c r="E98" s="2412" t="s">
        <v>1724</v>
      </c>
      <c r="F98" s="2413"/>
      <c r="G98" s="2413"/>
      <c r="H98" s="2413"/>
      <c r="I98" s="2413"/>
      <c r="J98" s="2413"/>
      <c r="K98" s="2413"/>
      <c r="L98" s="2413"/>
      <c r="M98" s="2413"/>
      <c r="N98" s="2413"/>
      <c r="O98" s="2413"/>
      <c r="P98" s="2413"/>
      <c r="Q98" s="2413"/>
      <c r="R98" s="2413"/>
      <c r="S98" s="2413"/>
      <c r="T98" s="2413"/>
      <c r="U98" s="2413"/>
      <c r="V98" s="2413"/>
      <c r="W98" s="2413"/>
      <c r="X98" s="2413"/>
      <c r="Y98" s="2413"/>
      <c r="Z98" s="2413"/>
      <c r="AA98" s="2413"/>
      <c r="AB98" s="2413"/>
      <c r="AC98" s="2413"/>
      <c r="AD98" s="2413"/>
      <c r="AE98" s="2413"/>
      <c r="AF98" s="2413"/>
      <c r="AG98" s="2413"/>
      <c r="AH98" s="2413"/>
      <c r="AI98" s="2413"/>
      <c r="AJ98" s="2414"/>
      <c r="AK98" s="543"/>
      <c r="AL98" s="540"/>
      <c r="AM98" s="540"/>
      <c r="AN98" s="535"/>
    </row>
    <row r="99" spans="1:47" s="536" customFormat="1" ht="12.75" customHeight="1">
      <c r="A99" s="538"/>
      <c r="B99" s="539"/>
      <c r="C99" s="539"/>
      <c r="D99" s="539"/>
      <c r="E99" s="2415"/>
      <c r="F99" s="2416"/>
      <c r="G99" s="2416"/>
      <c r="H99" s="2416"/>
      <c r="I99" s="2416"/>
      <c r="J99" s="2416"/>
      <c r="K99" s="2416"/>
      <c r="L99" s="2416"/>
      <c r="M99" s="2416"/>
      <c r="N99" s="2416"/>
      <c r="O99" s="2416"/>
      <c r="P99" s="2416"/>
      <c r="Q99" s="2416"/>
      <c r="R99" s="2416"/>
      <c r="S99" s="2416"/>
      <c r="T99" s="2416"/>
      <c r="U99" s="2416"/>
      <c r="V99" s="2416"/>
      <c r="W99" s="2416"/>
      <c r="X99" s="2416"/>
      <c r="Y99" s="2416"/>
      <c r="Z99" s="2416"/>
      <c r="AA99" s="2416"/>
      <c r="AB99" s="2416"/>
      <c r="AC99" s="2416"/>
      <c r="AD99" s="2416"/>
      <c r="AE99" s="2416"/>
      <c r="AF99" s="2416"/>
      <c r="AG99" s="2416"/>
      <c r="AH99" s="2416"/>
      <c r="AI99" s="2416"/>
      <c r="AJ99" s="2417"/>
      <c r="AK99" s="543"/>
      <c r="AL99" s="540"/>
      <c r="AM99" s="540"/>
      <c r="AN99" s="535"/>
    </row>
    <row r="100" spans="1:47" s="536" customFormat="1" ht="12.75" customHeight="1">
      <c r="A100" s="538"/>
      <c r="B100" s="539"/>
      <c r="C100" s="539"/>
      <c r="D100" s="539"/>
      <c r="E100" s="2415"/>
      <c r="F100" s="2416"/>
      <c r="G100" s="2416"/>
      <c r="H100" s="2416"/>
      <c r="I100" s="2416"/>
      <c r="J100" s="2416"/>
      <c r="K100" s="2416"/>
      <c r="L100" s="2416"/>
      <c r="M100" s="2416"/>
      <c r="N100" s="2416"/>
      <c r="O100" s="2416"/>
      <c r="P100" s="2416"/>
      <c r="Q100" s="2416"/>
      <c r="R100" s="2416"/>
      <c r="S100" s="2416"/>
      <c r="T100" s="2416"/>
      <c r="U100" s="2416"/>
      <c r="V100" s="2416"/>
      <c r="W100" s="2416"/>
      <c r="X100" s="2416"/>
      <c r="Y100" s="2416"/>
      <c r="Z100" s="2416"/>
      <c r="AA100" s="2416"/>
      <c r="AB100" s="2416"/>
      <c r="AC100" s="2416"/>
      <c r="AD100" s="2416"/>
      <c r="AE100" s="2416"/>
      <c r="AF100" s="2416"/>
      <c r="AG100" s="2416"/>
      <c r="AH100" s="2416"/>
      <c r="AI100" s="2416"/>
      <c r="AJ100" s="2417"/>
      <c r="AK100" s="543"/>
      <c r="AL100" s="540"/>
      <c r="AM100" s="540"/>
      <c r="AN100" s="535"/>
    </row>
    <row r="101" spans="1:47" s="536" customFormat="1" ht="12.75" customHeight="1">
      <c r="A101" s="538"/>
      <c r="B101" s="539"/>
      <c r="C101" s="539"/>
      <c r="D101" s="539"/>
      <c r="E101" s="2415"/>
      <c r="F101" s="2416"/>
      <c r="G101" s="2416"/>
      <c r="H101" s="2416"/>
      <c r="I101" s="2416"/>
      <c r="J101" s="2416"/>
      <c r="K101" s="2416"/>
      <c r="L101" s="2416"/>
      <c r="M101" s="2416"/>
      <c r="N101" s="2416"/>
      <c r="O101" s="2416"/>
      <c r="P101" s="2416"/>
      <c r="Q101" s="2416"/>
      <c r="R101" s="2416"/>
      <c r="S101" s="2416"/>
      <c r="T101" s="2416"/>
      <c r="U101" s="2416"/>
      <c r="V101" s="2416"/>
      <c r="W101" s="2416"/>
      <c r="X101" s="2416"/>
      <c r="Y101" s="2416"/>
      <c r="Z101" s="2416"/>
      <c r="AA101" s="2416"/>
      <c r="AB101" s="2416"/>
      <c r="AC101" s="2416"/>
      <c r="AD101" s="2416"/>
      <c r="AE101" s="2416"/>
      <c r="AF101" s="2416"/>
      <c r="AG101" s="2416"/>
      <c r="AH101" s="2416"/>
      <c r="AI101" s="2416"/>
      <c r="AJ101" s="2417"/>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5">
        <f>Application!AC753</f>
        <v>0.6</v>
      </c>
      <c r="F103" s="2396"/>
      <c r="G103" s="2396"/>
      <c r="H103" s="2396"/>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5">
        <f ca="1">SUMIF(Application!AC718:AG752,0.2,Application!G718:J752)/Application!G753+SUMIF(Application!AC718:AG752,0.25,Application!G718:J752)/Application!G753+SUMIF(Application!AC718:AG752,0.3,Application!G718:J752)/Application!G753</f>
        <v>0.10997442455242967</v>
      </c>
      <c r="F104" s="2396"/>
      <c r="G104" s="2396"/>
      <c r="H104" s="2396"/>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5">
        <f ca="1">SUMIF(Application!AC718:AG752,0.35,Application!G718:J752)/Application!G753+SUMIF(Application!AC718:AG752,0.4,Application!G718:J752)/Application!G753+SUMIF(Application!AC718:AG752,0.45,Application!G718:J752)/Application!G753+SUMIF(Application!AC718:AG752,0.5,Application!G718:J752)/Application!G753</f>
        <v>9.2071611253196933E-2</v>
      </c>
      <c r="F105" s="2396"/>
      <c r="G105" s="2396"/>
      <c r="H105" s="2396"/>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3">
        <f ca="1">IF(AND(E103&lt;=0.6,OR(AND(E104&gt;=0.1,E105&gt;=0.1),AND(E104&gt;0.1,(E104+E105)&gt;=0.2))),20,0)</f>
        <v>20</v>
      </c>
      <c r="F106" s="2454"/>
      <c r="G106" s="2454"/>
      <c r="H106" s="2454"/>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434">
        <f ca="1">MAX(AP95,AP106)</f>
        <v>20</v>
      </c>
      <c r="AL109" s="2435"/>
      <c r="AM109" s="2436"/>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1" t="s">
        <v>1313</v>
      </c>
      <c r="AF112" s="2411"/>
      <c r="AG112" s="2411"/>
      <c r="AH112" s="2411"/>
      <c r="AI112" s="2411"/>
      <c r="AJ112" s="2411"/>
      <c r="AK112" s="2411"/>
      <c r="AL112" s="540"/>
      <c r="AM112" s="540"/>
      <c r="AN112" s="535"/>
      <c r="AO112" s="536" t="str">
        <f>Application!B718</f>
        <v>1 Bedroom</v>
      </c>
      <c r="AQ112" s="536">
        <f>Application!O718</f>
        <v>809</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1377</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1661</v>
      </c>
    </row>
    <row r="115" spans="1:52" s="536" customFormat="1" ht="12.75" customHeight="1">
      <c r="A115" s="540"/>
      <c r="B115" s="2401" t="s">
        <v>545</v>
      </c>
      <c r="C115" s="2401"/>
      <c r="D115" s="547" t="s">
        <v>1314</v>
      </c>
      <c r="E115" s="2412" t="s">
        <v>1857</v>
      </c>
      <c r="F115" s="2413"/>
      <c r="G115" s="2413"/>
      <c r="H115" s="2413"/>
      <c r="I115" s="2413"/>
      <c r="J115" s="2413"/>
      <c r="K115" s="2413"/>
      <c r="L115" s="2413"/>
      <c r="M115" s="2413"/>
      <c r="N115" s="2413"/>
      <c r="O115" s="2413"/>
      <c r="P115" s="2413"/>
      <c r="Q115" s="2413"/>
      <c r="R115" s="2413"/>
      <c r="S115" s="2413"/>
      <c r="T115" s="2413"/>
      <c r="U115" s="2413"/>
      <c r="V115" s="2413"/>
      <c r="W115" s="2413"/>
      <c r="X115" s="2413"/>
      <c r="Y115" s="2413"/>
      <c r="Z115" s="2413"/>
      <c r="AA115" s="2413"/>
      <c r="AB115" s="2413"/>
      <c r="AC115" s="2413"/>
      <c r="AD115" s="2413"/>
      <c r="AE115" s="2413"/>
      <c r="AF115" s="2413"/>
      <c r="AG115" s="2413"/>
      <c r="AH115" s="2413"/>
      <c r="AI115" s="2413"/>
      <c r="AJ115" s="2414"/>
      <c r="AK115" s="540"/>
      <c r="AL115" s="540"/>
      <c r="AM115" s="540"/>
      <c r="AN115" s="535"/>
      <c r="AO115" s="536" t="str">
        <f>Application!B721</f>
        <v>1 Bedroom</v>
      </c>
      <c r="AQ115" s="536">
        <f>Application!O721</f>
        <v>1944.9999999999998</v>
      </c>
      <c r="AU115" s="536" t="s">
        <v>1839</v>
      </c>
      <c r="AV115" s="595" t="s">
        <v>1840</v>
      </c>
      <c r="AW115" s="536" t="s">
        <v>1841</v>
      </c>
    </row>
    <row r="116" spans="1:52" s="536" customFormat="1" ht="12.75" customHeight="1">
      <c r="A116" s="540"/>
      <c r="B116" s="539"/>
      <c r="C116" s="539"/>
      <c r="D116" s="539"/>
      <c r="E116" s="2415"/>
      <c r="F116" s="2416"/>
      <c r="G116" s="2416"/>
      <c r="H116" s="2416"/>
      <c r="I116" s="2416"/>
      <c r="J116" s="2416"/>
      <c r="K116" s="2416"/>
      <c r="L116" s="2416"/>
      <c r="M116" s="2416"/>
      <c r="N116" s="2416"/>
      <c r="O116" s="2416"/>
      <c r="P116" s="2416"/>
      <c r="Q116" s="2416"/>
      <c r="R116" s="2416"/>
      <c r="S116" s="2416"/>
      <c r="T116" s="2416"/>
      <c r="U116" s="2416"/>
      <c r="V116" s="2416"/>
      <c r="W116" s="2416"/>
      <c r="X116" s="2416"/>
      <c r="Y116" s="2416"/>
      <c r="Z116" s="2416"/>
      <c r="AA116" s="2416"/>
      <c r="AB116" s="2416"/>
      <c r="AC116" s="2416"/>
      <c r="AD116" s="2416"/>
      <c r="AE116" s="2416"/>
      <c r="AF116" s="2416"/>
      <c r="AG116" s="2416"/>
      <c r="AH116" s="2416"/>
      <c r="AI116" s="2416"/>
      <c r="AJ116" s="2417"/>
      <c r="AK116" s="540"/>
      <c r="AL116" s="540"/>
      <c r="AM116" s="540"/>
      <c r="AN116" s="535"/>
      <c r="AO116" s="536" t="str">
        <f>Application!B722</f>
        <v>2 Bedrooms</v>
      </c>
      <c r="AQ116" s="536">
        <f>Application!O722</f>
        <v>1647</v>
      </c>
      <c r="AU116" s="856" t="str">
        <f>E124</f>
        <v>Studio/SRO</v>
      </c>
      <c r="AV116" s="536">
        <f t="array" ref="AV116">SUM(IF(Application!B718:F752="SRO/Studio",Application!G718:J752))</f>
        <v>0</v>
      </c>
      <c r="AW116" s="1010">
        <f>AV116/AV122</f>
        <v>0</v>
      </c>
    </row>
    <row r="117" spans="1:52" s="536" customFormat="1" ht="12.75" customHeight="1">
      <c r="A117" s="540"/>
      <c r="B117" s="539"/>
      <c r="C117" s="539"/>
      <c r="D117" s="539"/>
      <c r="E117" s="2415"/>
      <c r="F117" s="2416"/>
      <c r="G117" s="2416"/>
      <c r="H117" s="2416"/>
      <c r="I117" s="2416"/>
      <c r="J117" s="2416"/>
      <c r="K117" s="2416"/>
      <c r="L117" s="2416"/>
      <c r="M117" s="2416"/>
      <c r="N117" s="2416"/>
      <c r="O117" s="2416"/>
      <c r="P117" s="2416"/>
      <c r="Q117" s="2416"/>
      <c r="R117" s="2416"/>
      <c r="S117" s="2416"/>
      <c r="T117" s="2416"/>
      <c r="U117" s="2416"/>
      <c r="V117" s="2416"/>
      <c r="W117" s="2416"/>
      <c r="X117" s="2416"/>
      <c r="Y117" s="2416"/>
      <c r="Z117" s="2416"/>
      <c r="AA117" s="2416"/>
      <c r="AB117" s="2416"/>
      <c r="AC117" s="2416"/>
      <c r="AD117" s="2416"/>
      <c r="AE117" s="2416"/>
      <c r="AF117" s="2416"/>
      <c r="AG117" s="2416"/>
      <c r="AH117" s="2416"/>
      <c r="AI117" s="2416"/>
      <c r="AJ117" s="2417"/>
      <c r="AK117" s="540"/>
      <c r="AL117" s="540"/>
      <c r="AM117" s="540"/>
      <c r="AN117" s="535"/>
      <c r="AO117" s="536" t="str">
        <f>Application!B723</f>
        <v>2 Bedrooms</v>
      </c>
      <c r="AQ117" s="536">
        <f>Application!O723</f>
        <v>1987.6</v>
      </c>
      <c r="AU117" s="856" t="str">
        <f>J124</f>
        <v>1-bedroom</v>
      </c>
      <c r="AV117" s="536">
        <f t="array" ref="AV117">SUM(IF(Application!B718:F752="1 Bedroom",Application!G718:J752))</f>
        <v>365</v>
      </c>
      <c r="AW117" s="1010">
        <f>AV117/AV122</f>
        <v>0.93350383631713552</v>
      </c>
    </row>
    <row r="118" spans="1:52" s="536" customFormat="1" ht="12.75" customHeight="1">
      <c r="A118" s="540"/>
      <c r="B118" s="539"/>
      <c r="C118" s="539"/>
      <c r="D118" s="539"/>
      <c r="E118" s="2415"/>
      <c r="F118" s="2416"/>
      <c r="G118" s="2416"/>
      <c r="H118" s="2416"/>
      <c r="I118" s="2416"/>
      <c r="J118" s="2416"/>
      <c r="K118" s="2416"/>
      <c r="L118" s="2416"/>
      <c r="M118" s="2416"/>
      <c r="N118" s="2416"/>
      <c r="O118" s="2416"/>
      <c r="P118" s="2416"/>
      <c r="Q118" s="2416"/>
      <c r="R118" s="2416"/>
      <c r="S118" s="2416"/>
      <c r="T118" s="2416"/>
      <c r="U118" s="2416"/>
      <c r="V118" s="2416"/>
      <c r="W118" s="2416"/>
      <c r="X118" s="2416"/>
      <c r="Y118" s="2416"/>
      <c r="Z118" s="2416"/>
      <c r="AA118" s="2416"/>
      <c r="AB118" s="2416"/>
      <c r="AC118" s="2416"/>
      <c r="AD118" s="2416"/>
      <c r="AE118" s="2416"/>
      <c r="AF118" s="2416"/>
      <c r="AG118" s="2416"/>
      <c r="AH118" s="2416"/>
      <c r="AI118" s="2416"/>
      <c r="AJ118" s="2417"/>
      <c r="AK118" s="540"/>
      <c r="AL118" s="540"/>
      <c r="AM118" s="540"/>
      <c r="AN118" s="535"/>
      <c r="AO118" s="536" t="str">
        <f>Application!B724</f>
        <v>2 Bedrooms</v>
      </c>
      <c r="AQ118" s="536">
        <f>Application!O724</f>
        <v>2329</v>
      </c>
      <c r="AU118" s="856" t="str">
        <f>O124</f>
        <v>2-bedroom</v>
      </c>
      <c r="AV118" s="536">
        <f t="array" ref="AV118">SUM(IF(Application!B718:F752="2 Bedrooms",Application!G718:J752))</f>
        <v>26</v>
      </c>
      <c r="AW118" s="1010">
        <f>AV118/AV122</f>
        <v>6.6496163682864456E-2</v>
      </c>
    </row>
    <row r="119" spans="1:52" s="536" customFormat="1" ht="12.75" customHeight="1">
      <c r="A119" s="540"/>
      <c r="B119" s="539"/>
      <c r="C119" s="539"/>
      <c r="D119" s="539"/>
      <c r="E119" s="2415"/>
      <c r="F119" s="2416"/>
      <c r="G119" s="2416"/>
      <c r="H119" s="2416"/>
      <c r="I119" s="2416"/>
      <c r="J119" s="2416"/>
      <c r="K119" s="2416"/>
      <c r="L119" s="2416"/>
      <c r="M119" s="2416"/>
      <c r="N119" s="2416"/>
      <c r="O119" s="2416"/>
      <c r="P119" s="2416"/>
      <c r="Q119" s="2416"/>
      <c r="R119" s="2416"/>
      <c r="S119" s="2416"/>
      <c r="T119" s="2416"/>
      <c r="U119" s="2416"/>
      <c r="V119" s="2416"/>
      <c r="W119" s="2416"/>
      <c r="X119" s="2416"/>
      <c r="Y119" s="2416"/>
      <c r="Z119" s="2416"/>
      <c r="AA119" s="2416"/>
      <c r="AB119" s="2416"/>
      <c r="AC119" s="2416"/>
      <c r="AD119" s="2416"/>
      <c r="AE119" s="2416"/>
      <c r="AF119" s="2416"/>
      <c r="AG119" s="2416"/>
      <c r="AH119" s="2416"/>
      <c r="AI119" s="2416"/>
      <c r="AJ119" s="2417"/>
      <c r="AK119" s="540"/>
      <c r="AL119" s="540"/>
      <c r="AM119" s="540"/>
      <c r="AN119" s="535"/>
      <c r="AO119" s="536">
        <f>Application!B725</f>
        <v>0</v>
      </c>
      <c r="AQ119" s="536">
        <f>Application!O725</f>
        <v>0</v>
      </c>
      <c r="AU119" s="856" t="str">
        <f>T124</f>
        <v>3-bedroom</v>
      </c>
      <c r="AV119" s="536">
        <f t="array" ref="AV119">SUM(IF(Application!B718:F752="3 Bedrooms",Application!G718:J752))</f>
        <v>0</v>
      </c>
      <c r="AW119" s="1010">
        <f>AV119/AV122</f>
        <v>0</v>
      </c>
    </row>
    <row r="120" spans="1:52" s="536" customFormat="1" ht="12.75" customHeight="1">
      <c r="A120" s="540"/>
      <c r="B120" s="539"/>
      <c r="C120" s="539"/>
      <c r="D120" s="539"/>
      <c r="E120" s="2415"/>
      <c r="F120" s="2416"/>
      <c r="G120" s="2416"/>
      <c r="H120" s="2416"/>
      <c r="I120" s="2416"/>
      <c r="J120" s="2416"/>
      <c r="K120" s="2416"/>
      <c r="L120" s="2416"/>
      <c r="M120" s="2416"/>
      <c r="N120" s="2416"/>
      <c r="O120" s="2416"/>
      <c r="P120" s="2416"/>
      <c r="Q120" s="2416"/>
      <c r="R120" s="2416"/>
      <c r="S120" s="2416"/>
      <c r="T120" s="2416"/>
      <c r="U120" s="2416"/>
      <c r="V120" s="2416"/>
      <c r="W120" s="2416"/>
      <c r="X120" s="2416"/>
      <c r="Y120" s="2416"/>
      <c r="Z120" s="2416"/>
      <c r="AA120" s="2416"/>
      <c r="AB120" s="2416"/>
      <c r="AC120" s="2416"/>
      <c r="AD120" s="2416"/>
      <c r="AE120" s="2416"/>
      <c r="AF120" s="2416"/>
      <c r="AG120" s="2416"/>
      <c r="AH120" s="2416"/>
      <c r="AI120" s="2416"/>
      <c r="AJ120" s="2417"/>
      <c r="AK120" s="540"/>
      <c r="AL120" s="540"/>
      <c r="AM120" s="540"/>
      <c r="AN120" s="535"/>
      <c r="AO120" s="536">
        <f>Application!B726</f>
        <v>0</v>
      </c>
      <c r="AQ120" s="536">
        <f>Application!O726</f>
        <v>0</v>
      </c>
      <c r="AU120" s="856" t="str">
        <f>Y124</f>
        <v>4-bedroom</v>
      </c>
      <c r="AV120" s="536">
        <f t="array" ref="AV120">SUM(IF(Application!B718:F752="4 Bedrooms",Application!G718:J752))</f>
        <v>0</v>
      </c>
      <c r="AW120" s="1010">
        <f>AV120/AV122</f>
        <v>0</v>
      </c>
    </row>
    <row r="121" spans="1:52" s="536" customFormat="1" ht="12.75" customHeight="1">
      <c r="A121" s="540"/>
      <c r="B121" s="539"/>
      <c r="C121" s="539"/>
      <c r="D121" s="539"/>
      <c r="E121" s="2415"/>
      <c r="F121" s="2416"/>
      <c r="G121" s="2416"/>
      <c r="H121" s="2416"/>
      <c r="I121" s="2416"/>
      <c r="J121" s="2416"/>
      <c r="K121" s="2416"/>
      <c r="L121" s="2416"/>
      <c r="M121" s="2416"/>
      <c r="N121" s="2416"/>
      <c r="O121" s="2416"/>
      <c r="P121" s="2416"/>
      <c r="Q121" s="2416"/>
      <c r="R121" s="2416"/>
      <c r="S121" s="2416"/>
      <c r="T121" s="2416"/>
      <c r="U121" s="2416"/>
      <c r="V121" s="2416"/>
      <c r="W121" s="2416"/>
      <c r="X121" s="2416"/>
      <c r="Y121" s="2416"/>
      <c r="Z121" s="2416"/>
      <c r="AA121" s="2416"/>
      <c r="AB121" s="2416"/>
      <c r="AC121" s="2416"/>
      <c r="AD121" s="2416"/>
      <c r="AE121" s="2416"/>
      <c r="AF121" s="2416"/>
      <c r="AG121" s="2416"/>
      <c r="AH121" s="2416"/>
      <c r="AI121" s="2416"/>
      <c r="AJ121" s="2417"/>
      <c r="AK121" s="540"/>
      <c r="AL121" s="540"/>
      <c r="AM121" s="540"/>
      <c r="AN121" s="535"/>
      <c r="AO121" s="536">
        <f>Application!B727</f>
        <v>0</v>
      </c>
      <c r="AQ121" s="536">
        <f>Application!O727</f>
        <v>0</v>
      </c>
      <c r="AU121" s="856" t="str">
        <f>AD124</f>
        <v>5-bedroom</v>
      </c>
      <c r="AV121" s="536">
        <f t="array" ref="AV121">SUM(IF(Application!B718:F752="5 Bedrooms",Application!G718:J752))</f>
        <v>0</v>
      </c>
      <c r="AW121" s="1010">
        <f>AV121/AV122</f>
        <v>0</v>
      </c>
    </row>
    <row r="122" spans="1:52" s="536" customFormat="1" ht="12.75" customHeight="1">
      <c r="A122" s="540"/>
      <c r="B122" s="539"/>
      <c r="C122" s="539"/>
      <c r="D122" s="539"/>
      <c r="E122" s="2415"/>
      <c r="F122" s="2416"/>
      <c r="G122" s="2416"/>
      <c r="H122" s="2416"/>
      <c r="I122" s="2416"/>
      <c r="J122" s="2416"/>
      <c r="K122" s="2416"/>
      <c r="L122" s="2416"/>
      <c r="M122" s="2416"/>
      <c r="N122" s="2416"/>
      <c r="O122" s="2416"/>
      <c r="P122" s="2416"/>
      <c r="Q122" s="2416"/>
      <c r="R122" s="2416"/>
      <c r="S122" s="2416"/>
      <c r="T122" s="2416"/>
      <c r="U122" s="2416"/>
      <c r="V122" s="2416"/>
      <c r="W122" s="2416"/>
      <c r="X122" s="2416"/>
      <c r="Y122" s="2416"/>
      <c r="Z122" s="2416"/>
      <c r="AA122" s="2416"/>
      <c r="AB122" s="2416"/>
      <c r="AC122" s="2416"/>
      <c r="AD122" s="2416"/>
      <c r="AE122" s="2416"/>
      <c r="AF122" s="2416"/>
      <c r="AG122" s="2416"/>
      <c r="AH122" s="2416"/>
      <c r="AI122" s="2416"/>
      <c r="AJ122" s="2417"/>
      <c r="AK122" s="540"/>
      <c r="AL122" s="540"/>
      <c r="AM122" s="540"/>
      <c r="AN122" s="535"/>
      <c r="AO122" s="536">
        <f>Application!B728</f>
        <v>0</v>
      </c>
      <c r="AQ122" s="536">
        <f>Application!O728</f>
        <v>0</v>
      </c>
      <c r="AV122" s="536">
        <f>SUM(AV116:AV121)</f>
        <v>391</v>
      </c>
      <c r="AW122" s="1010">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5" t="s">
        <v>1587</v>
      </c>
      <c r="F124" s="2396"/>
      <c r="G124" s="2396"/>
      <c r="H124" s="2396"/>
      <c r="I124" s="577"/>
      <c r="J124" s="2396" t="s">
        <v>1630</v>
      </c>
      <c r="K124" s="2396"/>
      <c r="L124" s="2396"/>
      <c r="M124" s="2396"/>
      <c r="N124" s="577"/>
      <c r="O124" s="2396" t="s">
        <v>1631</v>
      </c>
      <c r="P124" s="2396"/>
      <c r="Q124" s="2396"/>
      <c r="R124" s="2396"/>
      <c r="S124" s="577"/>
      <c r="T124" s="2396" t="s">
        <v>1333</v>
      </c>
      <c r="U124" s="2396"/>
      <c r="V124" s="2396"/>
      <c r="W124" s="2396"/>
      <c r="X124" s="577"/>
      <c r="Y124" s="2396" t="s">
        <v>1632</v>
      </c>
      <c r="Z124" s="2396"/>
      <c r="AA124" s="2396"/>
      <c r="AB124" s="2396"/>
      <c r="AC124" s="577"/>
      <c r="AD124" s="2396" t="s">
        <v>1633</v>
      </c>
      <c r="AE124" s="2396"/>
      <c r="AF124" s="2396"/>
      <c r="AG124" s="2396"/>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5"/>
      <c r="F127" s="2456"/>
      <c r="G127" s="2456"/>
      <c r="H127" s="2456"/>
      <c r="I127" s="864"/>
      <c r="J127" s="2456">
        <v>2954</v>
      </c>
      <c r="K127" s="2456"/>
      <c r="L127" s="2456"/>
      <c r="M127" s="2456"/>
      <c r="N127" s="864"/>
      <c r="O127" s="2456">
        <v>3563</v>
      </c>
      <c r="P127" s="2456"/>
      <c r="Q127" s="2456"/>
      <c r="R127" s="2456"/>
      <c r="S127" s="864"/>
      <c r="T127" s="2456"/>
      <c r="U127" s="2456"/>
      <c r="V127" s="2456"/>
      <c r="W127" s="2456"/>
      <c r="X127" s="864"/>
      <c r="Y127" s="2456"/>
      <c r="Z127" s="2456"/>
      <c r="AA127" s="2456"/>
      <c r="AB127" s="2456"/>
      <c r="AC127" s="864"/>
      <c r="AD127" s="2456"/>
      <c r="AE127" s="2456"/>
      <c r="AF127" s="2456"/>
      <c r="AG127" s="2456"/>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8"/>
      <c r="AV128" s="1008"/>
      <c r="AW128" s="1008"/>
      <c r="AX128" s="1008"/>
      <c r="AY128" s="1008"/>
      <c r="AZ128" s="1008"/>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8"/>
      <c r="AV129" s="1008"/>
      <c r="AW129" s="1008"/>
      <c r="AX129" s="1008"/>
      <c r="AY129" s="1008"/>
      <c r="AZ129" s="1008"/>
    </row>
    <row r="130" spans="1:52" s="536" customFormat="1" ht="12.75" customHeight="1">
      <c r="A130" s="540"/>
      <c r="B130" s="539"/>
      <c r="C130" s="540"/>
      <c r="D130" s="540"/>
      <c r="E130" s="2448">
        <f>Application!DX670</f>
        <v>0</v>
      </c>
      <c r="F130" s="2449"/>
      <c r="G130" s="2449"/>
      <c r="H130" s="2449"/>
      <c r="I130" s="864"/>
      <c r="J130" s="2449">
        <f>Application!EC670</f>
        <v>1657.8876712328765</v>
      </c>
      <c r="K130" s="2449"/>
      <c r="L130" s="2449"/>
      <c r="M130" s="2449"/>
      <c r="N130" s="864"/>
      <c r="O130" s="2449">
        <f>Application!EH670</f>
        <v>2040.2153846153847</v>
      </c>
      <c r="P130" s="2449"/>
      <c r="Q130" s="2449"/>
      <c r="R130" s="2449"/>
      <c r="S130" s="868"/>
      <c r="T130" s="2449">
        <f>Application!EM670</f>
        <v>0</v>
      </c>
      <c r="U130" s="2449"/>
      <c r="V130" s="2449"/>
      <c r="W130" s="2449"/>
      <c r="X130" s="868"/>
      <c r="Y130" s="2449">
        <f>Application!ER670</f>
        <v>0</v>
      </c>
      <c r="Z130" s="2449"/>
      <c r="AA130" s="2449"/>
      <c r="AB130" s="2449"/>
      <c r="AC130" s="868"/>
      <c r="AD130" s="2449">
        <f>Application!EW670</f>
        <v>0</v>
      </c>
      <c r="AE130" s="2449"/>
      <c r="AF130" s="2449"/>
      <c r="AG130" s="2449"/>
      <c r="AH130" s="577"/>
      <c r="AI130" s="577"/>
      <c r="AJ130" s="579"/>
      <c r="AK130" s="540"/>
      <c r="AL130" s="540"/>
      <c r="AM130" s="540"/>
      <c r="AN130" s="535"/>
      <c r="AO130" s="536">
        <f>Application!B736</f>
        <v>0</v>
      </c>
      <c r="AQ130" s="536">
        <f>Application!O736</f>
        <v>0</v>
      </c>
      <c r="AU130" s="1008"/>
      <c r="AV130" s="1008"/>
      <c r="AW130" s="1009"/>
      <c r="AX130" s="1009"/>
      <c r="AY130" s="1008"/>
      <c r="AZ130" s="1008"/>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8"/>
      <c r="AV131" s="1008"/>
      <c r="AW131" s="1009"/>
      <c r="AX131" s="1009"/>
      <c r="AY131" s="1008"/>
      <c r="AZ131" s="1008"/>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8"/>
      <c r="AV132" s="1008"/>
      <c r="AW132" s="1009"/>
      <c r="AX132" s="1009"/>
      <c r="AY132" s="1008"/>
      <c r="AZ132" s="1008"/>
    </row>
    <row r="133" spans="1:52" s="536" customFormat="1" ht="12.75" customHeight="1">
      <c r="A133" s="540"/>
      <c r="B133" s="539"/>
      <c r="C133" s="540"/>
      <c r="D133" s="540"/>
      <c r="E133" s="2647" t="e">
        <f>(E127-E130)/E127</f>
        <v>#DIV/0!</v>
      </c>
      <c r="F133" s="2398"/>
      <c r="G133" s="2398"/>
      <c r="H133" s="2648"/>
      <c r="I133" s="577"/>
      <c r="J133" s="2647">
        <f>(J127-J130)/J127</f>
        <v>0.43876517561513995</v>
      </c>
      <c r="K133" s="2398"/>
      <c r="L133" s="2398"/>
      <c r="M133" s="2648"/>
      <c r="N133" s="577"/>
      <c r="O133" s="2647">
        <f>(O127-O130)/O127</f>
        <v>0.42738832876357435</v>
      </c>
      <c r="P133" s="2398"/>
      <c r="Q133" s="2398"/>
      <c r="R133" s="2648"/>
      <c r="S133" s="577"/>
      <c r="T133" s="2647" t="e">
        <f>(T127-T130)/T127</f>
        <v>#DIV/0!</v>
      </c>
      <c r="U133" s="2398"/>
      <c r="V133" s="2398"/>
      <c r="W133" s="2648"/>
      <c r="X133" s="577"/>
      <c r="Y133" s="2647" t="e">
        <f>(Y127-Y130)/Y127</f>
        <v>#DIV/0!</v>
      </c>
      <c r="Z133" s="2398"/>
      <c r="AA133" s="2398"/>
      <c r="AB133" s="2648"/>
      <c r="AC133" s="577"/>
      <c r="AD133" s="2647" t="e">
        <f>(AD127-AD130)/AD127</f>
        <v>#DIV/0!</v>
      </c>
      <c r="AE133" s="2398"/>
      <c r="AF133" s="2398"/>
      <c r="AG133" s="2648"/>
      <c r="AH133" s="577"/>
      <c r="AI133" s="577"/>
      <c r="AJ133" s="579"/>
      <c r="AK133" s="540"/>
      <c r="AL133" s="540"/>
      <c r="AM133" s="540"/>
      <c r="AN133" s="535"/>
      <c r="AO133" s="536">
        <f>Application!B739</f>
        <v>0</v>
      </c>
      <c r="AQ133" s="536">
        <f>Application!O739</f>
        <v>0</v>
      </c>
      <c r="AU133" s="1008"/>
      <c r="AV133" s="1008"/>
      <c r="AW133" s="1009"/>
      <c r="AX133" s="1009"/>
      <c r="AY133" s="1008"/>
      <c r="AZ133" s="1008"/>
    </row>
    <row r="134" spans="1:52" s="536" customFormat="1" ht="12.75" customHeight="1">
      <c r="A134" s="540"/>
      <c r="B134" s="539"/>
      <c r="C134" s="540"/>
      <c r="D134" s="540"/>
      <c r="E134" s="1003"/>
      <c r="F134" s="1002"/>
      <c r="G134" s="1002"/>
      <c r="H134" s="1002"/>
      <c r="I134" s="577"/>
      <c r="J134" s="1002"/>
      <c r="K134" s="1002"/>
      <c r="L134" s="1002"/>
      <c r="M134" s="1002"/>
      <c r="N134" s="577"/>
      <c r="O134" s="1002"/>
      <c r="P134" s="1002"/>
      <c r="Q134" s="1002"/>
      <c r="R134" s="1002"/>
      <c r="S134" s="577"/>
      <c r="T134" s="1002"/>
      <c r="U134" s="1002"/>
      <c r="V134" s="1002"/>
      <c r="W134" s="1002"/>
      <c r="X134" s="577"/>
      <c r="Y134" s="1002"/>
      <c r="Z134" s="1002"/>
      <c r="AA134" s="1002"/>
      <c r="AB134" s="1002"/>
      <c r="AC134" s="577"/>
      <c r="AD134" s="1002"/>
      <c r="AE134" s="1002"/>
      <c r="AF134" s="1002"/>
      <c r="AG134" s="1002"/>
      <c r="AH134" s="577"/>
      <c r="AI134" s="577"/>
      <c r="AJ134" s="579"/>
      <c r="AK134" s="540"/>
      <c r="AL134" s="540"/>
      <c r="AM134" s="540"/>
      <c r="AN134" s="535"/>
      <c r="AO134" s="536">
        <f>Application!B740</f>
        <v>0</v>
      </c>
      <c r="AQ134" s="536">
        <f>Application!O740</f>
        <v>0</v>
      </c>
      <c r="AU134" s="1008"/>
      <c r="AV134" s="1008"/>
      <c r="AW134" s="1009"/>
      <c r="AX134" s="1009"/>
      <c r="AY134" s="1008"/>
      <c r="AZ134" s="1008"/>
    </row>
    <row r="135" spans="1:52" s="536" customFormat="1" ht="12.75" customHeight="1">
      <c r="A135" s="540"/>
      <c r="B135" s="539"/>
      <c r="C135" s="540"/>
      <c r="D135" s="540"/>
      <c r="E135" s="1004" t="s">
        <v>1845</v>
      </c>
      <c r="F135" s="1002"/>
      <c r="G135" s="1002"/>
      <c r="H135" s="1002"/>
      <c r="I135" s="577"/>
      <c r="J135" s="1002"/>
      <c r="K135" s="1002"/>
      <c r="L135" s="1002"/>
      <c r="M135" s="1002"/>
      <c r="N135" s="577"/>
      <c r="O135" s="1002"/>
      <c r="P135" s="1002"/>
      <c r="Q135" s="1002"/>
      <c r="R135" s="1002"/>
      <c r="S135" s="577"/>
      <c r="T135" s="1002"/>
      <c r="U135" s="1002"/>
      <c r="V135" s="1002"/>
      <c r="W135" s="1002"/>
      <c r="X135" s="577"/>
      <c r="Y135" s="1002"/>
      <c r="Z135" s="1002"/>
      <c r="AA135" s="1002"/>
      <c r="AB135" s="1002"/>
      <c r="AC135" s="577"/>
      <c r="AD135" s="1002"/>
      <c r="AE135" s="1002"/>
      <c r="AF135" s="1002"/>
      <c r="AG135" s="1002"/>
      <c r="AH135" s="577"/>
      <c r="AI135" s="577"/>
      <c r="AJ135" s="579"/>
      <c r="AK135" s="540"/>
      <c r="AL135" s="540"/>
      <c r="AM135" s="540"/>
      <c r="AN135" s="535"/>
      <c r="AO135" s="536">
        <f>Application!B741</f>
        <v>0</v>
      </c>
      <c r="AQ135" s="536">
        <f>Application!O741</f>
        <v>0</v>
      </c>
      <c r="AU135" s="1009"/>
      <c r="AV135" s="1008"/>
      <c r="AW135" s="1009"/>
      <c r="AX135" s="1009"/>
      <c r="AY135" s="1008"/>
      <c r="AZ135" s="1008"/>
    </row>
    <row r="136" spans="1:52" s="536" customFormat="1" ht="12.75" customHeight="1">
      <c r="A136" s="540"/>
      <c r="B136" s="539"/>
      <c r="C136" s="540"/>
      <c r="D136" s="540"/>
      <c r="E136" s="2450" t="e">
        <f>IF(((E133-0.1)*AW116)&gt;0,((E133-0.1)*AW116),0)</f>
        <v>#DIV/0!</v>
      </c>
      <c r="F136" s="2451"/>
      <c r="G136" s="2451"/>
      <c r="H136" s="2452"/>
      <c r="I136" s="577"/>
      <c r="J136" s="2450">
        <f>IF(((J133-0.1)*AW117)&gt;0,((J133-0.1)*AW117),0)</f>
        <v>0.31623859104738128</v>
      </c>
      <c r="K136" s="2451"/>
      <c r="L136" s="2451"/>
      <c r="M136" s="2452"/>
      <c r="N136" s="577"/>
      <c r="O136" s="2450">
        <f>IF(((O133-0.1)*AW118)&gt;0,((O133-0.1)*AW118),0)</f>
        <v>2.1770067897322082E-2</v>
      </c>
      <c r="P136" s="2451"/>
      <c r="Q136" s="2451"/>
      <c r="R136" s="2452"/>
      <c r="S136" s="577"/>
      <c r="T136" s="2450" t="e">
        <f>IF(((T133-0.1)*AW119)&gt;0,((T133-0.1)*AW119),0)</f>
        <v>#DIV/0!</v>
      </c>
      <c r="U136" s="2451"/>
      <c r="V136" s="2451"/>
      <c r="W136" s="2452"/>
      <c r="X136" s="577"/>
      <c r="Y136" s="2450" t="e">
        <f>IF(((Y133-0.1)*AW120)&gt;0,((Y133-0.1)*AW120),0)</f>
        <v>#DIV/0!</v>
      </c>
      <c r="Z136" s="2451"/>
      <c r="AA136" s="2451"/>
      <c r="AB136" s="2452"/>
      <c r="AC136" s="577"/>
      <c r="AD136" s="2450" t="e">
        <f>IF(((AD133-0.1)*AW121)&gt;0,((AD133-0.1)*AW121),0)</f>
        <v>#DIV/0!</v>
      </c>
      <c r="AE136" s="2451"/>
      <c r="AF136" s="2451"/>
      <c r="AG136" s="2452"/>
      <c r="AH136" s="577"/>
      <c r="AI136" s="577"/>
      <c r="AJ136" s="579"/>
      <c r="AK136" s="540"/>
      <c r="AL136" s="540"/>
      <c r="AM136" s="540"/>
      <c r="AN136" s="535"/>
      <c r="AO136" s="536">
        <f>Application!B752</f>
        <v>0</v>
      </c>
      <c r="AQ136" s="536">
        <f>Application!O752</f>
        <v>0</v>
      </c>
      <c r="AU136" s="1008"/>
      <c r="AV136" s="1008"/>
      <c r="AW136" s="1008"/>
      <c r="AX136" s="1009"/>
      <c r="AY136" s="1008"/>
      <c r="AZ136" s="1008"/>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8"/>
      <c r="AV137" s="1008"/>
      <c r="AW137" s="1008"/>
      <c r="AX137" s="1008"/>
      <c r="AY137" s="1008"/>
      <c r="AZ137" s="1008"/>
    </row>
    <row r="138" spans="1:52" s="536" customFormat="1" ht="12.75" customHeight="1">
      <c r="A138" s="540"/>
      <c r="B138" s="539"/>
      <c r="C138" s="540"/>
      <c r="D138" s="540"/>
      <c r="E138" s="2647">
        <f>ROUNDDOWN(SUMIF(E136:AG136,"&gt;0"),2)</f>
        <v>0.33</v>
      </c>
      <c r="F138" s="2398"/>
      <c r="G138" s="2398"/>
      <c r="H138" s="2648"/>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8"/>
      <c r="AV138" s="1008"/>
      <c r="AW138" s="1008"/>
      <c r="AX138" s="1009"/>
      <c r="AY138" s="1008"/>
      <c r="AZ138" s="1008"/>
    </row>
    <row r="139" spans="1:52" s="536" customFormat="1" ht="12.75" customHeight="1">
      <c r="A139" s="540"/>
      <c r="B139" s="539"/>
      <c r="C139" s="540"/>
      <c r="D139" s="540"/>
      <c r="E139" s="2434">
        <f>IF((E138*100)&gt;10,10,E138*100)</f>
        <v>10</v>
      </c>
      <c r="F139" s="2435"/>
      <c r="G139" s="2435"/>
      <c r="H139" s="2436"/>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8"/>
      <c r="AV139" s="1008"/>
      <c r="AW139" s="1008"/>
      <c r="AX139" s="1008"/>
      <c r="AY139" s="1008"/>
      <c r="AZ139" s="1008"/>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1"/>
      <c r="AU140" s="1008"/>
      <c r="AV140" s="1008"/>
      <c r="AW140" s="1009"/>
      <c r="AX140" s="1008"/>
      <c r="AY140" s="1008"/>
      <c r="AZ140" s="1008"/>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8"/>
      <c r="AV141" s="1008"/>
      <c r="AW141" s="1008"/>
      <c r="AX141" s="1008"/>
      <c r="AY141" s="1008"/>
      <c r="AZ141" s="1008"/>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434">
        <f>E139</f>
        <v>10</v>
      </c>
      <c r="AL143" s="2435"/>
      <c r="AM143" s="2436"/>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11" t="s">
        <v>1313</v>
      </c>
      <c r="AF146" s="2411"/>
      <c r="AG146" s="2411"/>
      <c r="AH146" s="2411"/>
      <c r="AI146" s="2411"/>
      <c r="AJ146" s="2411"/>
      <c r="AK146" s="2411"/>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6" t="s">
        <v>1337</v>
      </c>
      <c r="AG148" s="2446"/>
      <c r="AH148" s="2446"/>
      <c r="AI148" s="2446"/>
      <c r="AJ148" s="2446"/>
      <c r="AK148" s="2446"/>
      <c r="AL148" s="2446"/>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7" t="s">
        <v>2719</v>
      </c>
      <c r="C150" s="2447"/>
      <c r="D150" s="2447"/>
      <c r="E150" s="2447"/>
      <c r="F150" s="2447"/>
      <c r="G150" s="2447"/>
      <c r="H150" s="2447"/>
      <c r="I150" s="2447"/>
      <c r="J150" s="2447"/>
      <c r="K150" s="2447"/>
      <c r="L150" s="2447"/>
      <c r="M150" s="2447"/>
      <c r="N150" s="2447"/>
      <c r="O150" s="2447"/>
      <c r="P150" s="2447"/>
      <c r="Q150" s="2447"/>
      <c r="R150" s="2447"/>
      <c r="S150" s="2447"/>
      <c r="T150" s="2447"/>
      <c r="U150" s="2447"/>
      <c r="V150" s="2447"/>
      <c r="W150" s="2447"/>
      <c r="X150" s="2447"/>
      <c r="Y150" s="2447"/>
      <c r="Z150" s="2447"/>
      <c r="AA150" s="2447"/>
      <c r="AB150" s="2447"/>
      <c r="AC150" s="2447"/>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473" t="s">
        <v>1340</v>
      </c>
      <c r="C153" s="2473"/>
      <c r="D153" s="2473"/>
      <c r="E153" s="2473"/>
      <c r="F153" s="2473"/>
      <c r="G153" s="2473"/>
      <c r="H153" s="2473"/>
      <c r="I153" s="2473"/>
      <c r="J153" s="2473"/>
      <c r="K153" s="2473"/>
      <c r="L153" s="2473"/>
      <c r="M153" s="2473"/>
      <c r="N153" s="2473"/>
      <c r="O153" s="2473"/>
      <c r="P153" s="2473"/>
      <c r="Q153" s="2473"/>
      <c r="R153" s="2473"/>
      <c r="S153" s="2473"/>
      <c r="T153" s="2473"/>
      <c r="U153" s="2473"/>
      <c r="V153" s="2473"/>
      <c r="W153" s="2473"/>
      <c r="X153" s="2473"/>
      <c r="Y153" s="2473"/>
      <c r="Z153" s="2473"/>
      <c r="AA153" s="2473"/>
      <c r="AB153" s="2473"/>
      <c r="AC153" s="2473"/>
      <c r="AD153" s="2473"/>
      <c r="AE153" s="2473"/>
      <c r="AF153" s="2473"/>
      <c r="AG153" s="2473"/>
      <c r="AH153" s="2473"/>
      <c r="AI153" s="2473"/>
      <c r="AM153" s="539"/>
      <c r="AN153" s="535"/>
      <c r="AO153" s="476" t="s">
        <v>1340</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474" t="s">
        <v>591</v>
      </c>
      <c r="AC155" s="2474"/>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473" t="s">
        <v>1342</v>
      </c>
      <c r="C158" s="2473"/>
      <c r="D158" s="2473"/>
      <c r="E158" s="2473"/>
      <c r="F158" s="2473"/>
      <c r="G158" s="2473"/>
      <c r="H158" s="2473"/>
      <c r="I158" s="2473"/>
      <c r="J158" s="2473"/>
      <c r="K158" s="2473"/>
      <c r="L158" s="2473"/>
      <c r="M158" s="2473"/>
      <c r="N158" s="2473"/>
      <c r="O158" s="2473"/>
      <c r="P158" s="2473"/>
      <c r="Q158" s="2473"/>
      <c r="R158" s="2473"/>
      <c r="S158" s="2473"/>
      <c r="T158" s="2473"/>
      <c r="U158" s="2473"/>
      <c r="V158" s="2473"/>
      <c r="W158" s="2473"/>
      <c r="X158" s="2473"/>
      <c r="Y158" s="2473"/>
      <c r="Z158" s="2473"/>
      <c r="AA158" s="2473"/>
      <c r="AB158" s="2473"/>
      <c r="AC158" s="2473"/>
      <c r="AD158" s="2473"/>
      <c r="AE158" s="2473"/>
      <c r="AF158" s="2473"/>
      <c r="AG158" s="2473"/>
      <c r="AH158" s="2473"/>
      <c r="AI158" s="2473"/>
      <c r="AJ158" s="2473"/>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4" t="s">
        <v>2476</v>
      </c>
      <c r="C161" s="2634"/>
      <c r="D161" s="2634"/>
      <c r="E161" s="2634"/>
      <c r="F161" s="2634"/>
      <c r="G161" s="2634"/>
      <c r="H161" s="2634"/>
      <c r="I161" s="2634"/>
      <c r="J161" s="2634"/>
      <c r="K161" s="2634"/>
      <c r="L161" s="2634"/>
      <c r="M161" s="2634"/>
      <c r="N161" s="2634"/>
      <c r="O161" s="2634"/>
      <c r="P161" s="2634"/>
      <c r="Q161" s="2634"/>
      <c r="R161" s="2634"/>
      <c r="S161" s="2634"/>
      <c r="T161" s="2634"/>
      <c r="U161" s="2634"/>
      <c r="V161" s="2634"/>
      <c r="W161" s="2634"/>
      <c r="X161" s="2634"/>
      <c r="Y161" s="2634"/>
      <c r="Z161" s="2634"/>
      <c r="AA161" s="2634"/>
      <c r="AB161" s="2634"/>
      <c r="AC161" s="2634"/>
      <c r="AD161" s="2634"/>
      <c r="AE161" s="2634"/>
      <c r="AF161" s="2634"/>
      <c r="AG161" s="2634"/>
      <c r="AH161" s="2634"/>
      <c r="AI161" s="2634"/>
      <c r="AJ161" s="2634"/>
      <c r="AK161" s="1179"/>
      <c r="AM161" s="539"/>
      <c r="AN161" s="535"/>
      <c r="AO161" s="476"/>
      <c r="AP161" s="489"/>
    </row>
    <row r="162" spans="1:42" s="536" customFormat="1" ht="12.75" customHeight="1">
      <c r="B162" s="2634"/>
      <c r="C162" s="2634"/>
      <c r="D162" s="2634"/>
      <c r="E162" s="2634"/>
      <c r="F162" s="2634"/>
      <c r="G162" s="2634"/>
      <c r="H162" s="2634"/>
      <c r="I162" s="2634"/>
      <c r="J162" s="2634"/>
      <c r="K162" s="2634"/>
      <c r="L162" s="2634"/>
      <c r="M162" s="2634"/>
      <c r="N162" s="2634"/>
      <c r="O162" s="2634"/>
      <c r="P162" s="2634"/>
      <c r="Q162" s="2634"/>
      <c r="R162" s="2634"/>
      <c r="S162" s="2634"/>
      <c r="T162" s="2634"/>
      <c r="U162" s="2634"/>
      <c r="V162" s="2634"/>
      <c r="W162" s="2634"/>
      <c r="X162" s="2634"/>
      <c r="Y162" s="2634"/>
      <c r="Z162" s="2634"/>
      <c r="AA162" s="2634"/>
      <c r="AB162" s="2634"/>
      <c r="AC162" s="2634"/>
      <c r="AD162" s="2634"/>
      <c r="AE162" s="2634"/>
      <c r="AF162" s="2634"/>
      <c r="AG162" s="2634"/>
      <c r="AH162" s="2634"/>
      <c r="AI162" s="2634"/>
      <c r="AJ162" s="2634"/>
      <c r="AK162" s="1179"/>
      <c r="AM162" s="539"/>
      <c r="AN162" s="535"/>
      <c r="AO162" s="476"/>
      <c r="AP162" s="489"/>
    </row>
    <row r="163" spans="1:42" s="536" customFormat="1" ht="12.75" customHeight="1">
      <c r="C163" s="2537" t="s">
        <v>2477</v>
      </c>
      <c r="D163" s="2537"/>
      <c r="E163" s="2537"/>
      <c r="F163" s="2537"/>
      <c r="G163" s="2537"/>
      <c r="H163" s="2537"/>
      <c r="I163" s="2537"/>
      <c r="J163" s="2537"/>
      <c r="K163" s="2537"/>
      <c r="L163" s="2537"/>
      <c r="M163" s="2537"/>
      <c r="N163" s="2537"/>
      <c r="O163" s="2537"/>
      <c r="P163" s="2537"/>
      <c r="Q163" s="2537"/>
      <c r="R163" s="2537"/>
      <c r="S163" s="2537"/>
      <c r="T163" s="2537"/>
      <c r="U163" s="2537"/>
      <c r="V163" s="2537"/>
      <c r="W163" s="2537"/>
      <c r="X163" s="2537"/>
      <c r="Y163" s="2537"/>
      <c r="Z163" s="2537"/>
      <c r="AA163" s="2537"/>
      <c r="AB163" s="2537"/>
      <c r="AC163" s="2537"/>
      <c r="AD163" s="2537"/>
      <c r="AE163" s="2537"/>
      <c r="AF163" s="2537"/>
      <c r="AG163" s="2537"/>
      <c r="AH163" s="2537"/>
      <c r="AI163" s="2537"/>
      <c r="AJ163" s="2537"/>
      <c r="AK163" s="1179"/>
      <c r="AM163" s="539"/>
      <c r="AN163" s="535"/>
      <c r="AO163" s="476"/>
      <c r="AP163" s="489"/>
    </row>
    <row r="164" spans="1:42" s="536" customFormat="1" ht="12.75" customHeight="1">
      <c r="B164" s="1179"/>
      <c r="C164" s="2472" t="s">
        <v>2475</v>
      </c>
      <c r="D164" s="2472"/>
      <c r="E164" s="2472"/>
      <c r="F164" s="2472"/>
      <c r="G164" s="2472"/>
      <c r="H164" s="2472"/>
      <c r="I164" s="2472"/>
      <c r="J164" s="2472"/>
      <c r="K164" s="2472"/>
      <c r="L164" s="2472"/>
      <c r="M164" s="2472"/>
      <c r="N164" s="2472"/>
      <c r="O164" s="2472"/>
      <c r="P164" s="2472"/>
      <c r="Q164" s="2472"/>
      <c r="R164" s="2472"/>
      <c r="S164" s="2472"/>
      <c r="T164" s="2472"/>
      <c r="U164" s="2472"/>
      <c r="V164" s="2472"/>
      <c r="W164" s="2472"/>
      <c r="X164" s="2472"/>
      <c r="Y164" s="2472"/>
      <c r="Z164" s="2472"/>
      <c r="AA164" s="1169"/>
      <c r="AB164" s="1169"/>
      <c r="AC164" s="1169"/>
      <c r="AD164" s="1169"/>
      <c r="AE164" s="1169"/>
      <c r="AF164" s="1169"/>
      <c r="AG164" s="1169"/>
      <c r="AH164" s="1169"/>
      <c r="AJ164" s="2474" t="s">
        <v>591</v>
      </c>
      <c r="AK164" s="2474"/>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77">
        <f>IF($AB$155="N/A",VLOOKUP($B$153,$AO$151:$AP$154,2,FALSE),VLOOKUP($B$158,$AO$156:$AP$158,2,FALSE))</f>
        <v>7</v>
      </c>
      <c r="AK166" s="2477"/>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6" t="s">
        <v>1351</v>
      </c>
      <c r="AG168" s="2446"/>
      <c r="AH168" s="2446"/>
      <c r="AI168" s="2446"/>
      <c r="AJ168" s="2446"/>
      <c r="AK168" s="2446"/>
      <c r="AL168" s="2446"/>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3" t="s">
        <v>1349</v>
      </c>
      <c r="D170" s="2473"/>
      <c r="E170" s="2473"/>
      <c r="F170" s="2473"/>
      <c r="G170" s="2473"/>
      <c r="H170" s="2473"/>
      <c r="I170" s="2473"/>
      <c r="J170" s="2473"/>
      <c r="K170" s="2473"/>
      <c r="L170" s="2473"/>
      <c r="M170" s="2473"/>
      <c r="N170" s="2473"/>
      <c r="O170" s="2473"/>
      <c r="P170" s="2473"/>
      <c r="Q170" s="2473"/>
      <c r="R170" s="2473"/>
      <c r="S170" s="2473"/>
      <c r="T170" s="2473"/>
      <c r="U170" s="2473"/>
      <c r="V170" s="2473"/>
      <c r="W170" s="2473"/>
      <c r="X170" s="2473"/>
      <c r="Y170" s="2473"/>
      <c r="Z170" s="2473"/>
      <c r="AA170" s="2473"/>
      <c r="AB170" s="2473"/>
      <c r="AC170" s="2473"/>
      <c r="AD170" s="2473"/>
      <c r="AE170" s="2473"/>
      <c r="AF170" s="2473"/>
      <c r="AG170" s="2473"/>
      <c r="AH170" s="2473"/>
      <c r="AI170" s="2473"/>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4" t="s">
        <v>591</v>
      </c>
      <c r="AG172" s="2474"/>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473" t="s">
        <v>1342</v>
      </c>
      <c r="D174" s="2473"/>
      <c r="E174" s="2473"/>
      <c r="F174" s="2473"/>
      <c r="G174" s="2473"/>
      <c r="H174" s="2473"/>
      <c r="I174" s="2473"/>
      <c r="J174" s="2473"/>
      <c r="K174" s="2473"/>
      <c r="L174" s="2473"/>
      <c r="M174" s="2473"/>
      <c r="N174" s="2473"/>
      <c r="O174" s="2473"/>
      <c r="P174" s="2473"/>
      <c r="Q174" s="2473"/>
      <c r="R174" s="2473"/>
      <c r="S174" s="2473"/>
      <c r="T174" s="2473"/>
      <c r="U174" s="2473"/>
      <c r="V174" s="2473"/>
      <c r="W174" s="2473"/>
      <c r="X174" s="2473"/>
      <c r="Y174" s="2473"/>
      <c r="Z174" s="2473"/>
      <c r="AA174" s="2473"/>
      <c r="AB174" s="2473"/>
      <c r="AC174" s="2473"/>
      <c r="AD174" s="2473"/>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475" t="str">
        <f>Application!AA335</f>
        <v xml:space="preserve">Solari Enterprises, Inc. </v>
      </c>
      <c r="D178" s="2475"/>
      <c r="E178" s="2475"/>
      <c r="F178" s="2475"/>
      <c r="G178" s="2475"/>
      <c r="H178" s="2475"/>
      <c r="I178" s="2475"/>
      <c r="J178" s="2475"/>
      <c r="K178" s="2475"/>
      <c r="L178" s="2475"/>
      <c r="M178" s="2475"/>
      <c r="N178" s="2475"/>
      <c r="O178" s="2475"/>
      <c r="P178" s="2475"/>
      <c r="Q178" s="2475"/>
      <c r="R178" s="2475"/>
      <c r="S178" s="2475"/>
      <c r="T178" s="2475"/>
      <c r="U178" s="2475"/>
      <c r="V178" s="2475"/>
      <c r="W178" s="2475"/>
      <c r="X178" s="2475"/>
      <c r="Y178" s="2475"/>
      <c r="Z178" s="2475"/>
      <c r="AA178" s="2475"/>
      <c r="AB178" s="2475"/>
      <c r="AC178" s="2475"/>
      <c r="AD178" s="2475"/>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76">
        <f>IF($AF$172="N/A",VLOOKUP($C$170,$AO$170:$AP$173,2,FALSE),VLOOKUP($C$174,$AO$177:$AP$179,2,FALSE))</f>
        <v>3</v>
      </c>
      <c r="AK180" s="2476"/>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434">
        <f>$AJ$166+$AJ$180</f>
        <v>10</v>
      </c>
      <c r="AL183" s="2435"/>
      <c r="AM183" s="2436"/>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1" t="s">
        <v>1313</v>
      </c>
      <c r="AF186" s="2411"/>
      <c r="AG186" s="2411"/>
      <c r="AH186" s="2411"/>
      <c r="AI186" s="2411"/>
      <c r="AJ186" s="2411"/>
      <c r="AK186" s="2411"/>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471" t="s">
        <v>1366</v>
      </c>
      <c r="C188" s="2471"/>
      <c r="D188" s="2471"/>
      <c r="E188" s="2471"/>
      <c r="F188" s="2471"/>
      <c r="G188" s="2471"/>
      <c r="H188" s="2471"/>
      <c r="I188" s="2471"/>
      <c r="J188" s="2471"/>
      <c r="K188" s="2471"/>
      <c r="L188" s="2471"/>
      <c r="M188" s="2471"/>
      <c r="N188" s="2471"/>
      <c r="O188" s="2471"/>
      <c r="P188" s="2471"/>
      <c r="Q188" s="2471"/>
      <c r="R188" s="2471"/>
      <c r="S188" s="2471"/>
      <c r="T188" s="2471"/>
      <c r="U188" s="2471"/>
      <c r="V188" s="2471"/>
      <c r="W188" s="2471"/>
      <c r="X188" s="2471"/>
      <c r="Y188" s="2471"/>
      <c r="Z188" s="2471"/>
      <c r="AA188" s="2471"/>
      <c r="AB188" s="2471"/>
      <c r="AC188" s="2471"/>
      <c r="AD188" s="536"/>
      <c r="AE188" s="536"/>
      <c r="AF188" s="2446" t="s">
        <v>1362</v>
      </c>
      <c r="AG188" s="2446"/>
      <c r="AH188" s="2446"/>
      <c r="AI188" s="2446"/>
      <c r="AJ188" s="2446"/>
      <c r="AK188" s="2446"/>
      <c r="AL188" s="2446"/>
      <c r="AN188" s="597"/>
      <c r="AP188" s="550" t="s">
        <v>1042</v>
      </c>
      <c r="AQ188" s="550">
        <v>10</v>
      </c>
    </row>
    <row r="189" spans="1:73" s="550" customFormat="1" ht="12.75" customHeight="1">
      <c r="A189" s="536"/>
      <c r="B189" s="2472" t="s">
        <v>1725</v>
      </c>
      <c r="C189" s="2472"/>
      <c r="D189" s="2472"/>
      <c r="E189" s="2472"/>
      <c r="F189" s="2472"/>
      <c r="G189" s="2472"/>
      <c r="H189" s="2472"/>
      <c r="I189" s="2472"/>
      <c r="J189" s="2472"/>
      <c r="K189" s="2472"/>
      <c r="L189" s="2472"/>
      <c r="M189" s="2472"/>
      <c r="N189" s="2472"/>
      <c r="O189" s="2472"/>
      <c r="P189" s="2472"/>
      <c r="Q189" s="2472"/>
      <c r="R189" s="2472"/>
      <c r="S189" s="2472"/>
      <c r="T189" s="2447" t="s">
        <v>591</v>
      </c>
      <c r="U189" s="2447"/>
      <c r="V189" s="2447"/>
      <c r="W189" s="2447"/>
      <c r="X189" s="2447"/>
      <c r="Y189" s="2447"/>
      <c r="Z189" s="2447"/>
      <c r="AA189" s="2447"/>
      <c r="AB189" s="2447"/>
      <c r="AC189" s="2447"/>
      <c r="AD189" s="536"/>
      <c r="AE189" s="536"/>
      <c r="AF189" s="536"/>
      <c r="AG189" s="536"/>
      <c r="AH189" s="536"/>
      <c r="AI189" s="536"/>
      <c r="AJ189" s="543"/>
      <c r="AK189" s="595"/>
      <c r="AL189" s="595"/>
      <c r="AM189" s="595"/>
      <c r="AN189" s="597"/>
      <c r="AP189" s="550" t="s">
        <v>1363</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81">
        <f>IF(AK84&gt;0,VLOOKUP($B$188,AP185:AQ191,2,FALSE),0)</f>
        <v>10</v>
      </c>
      <c r="AL191" s="2482"/>
      <c r="AM191" s="2483"/>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1" t="s">
        <v>1371</v>
      </c>
      <c r="AF194" s="2411"/>
      <c r="AG194" s="2411"/>
      <c r="AH194" s="2411"/>
      <c r="AI194" s="2411"/>
      <c r="AJ194" s="2411"/>
      <c r="AK194" s="2411"/>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8" t="s">
        <v>2745</v>
      </c>
      <c r="C199" s="2458"/>
      <c r="D199" s="2458"/>
      <c r="E199" s="2458"/>
      <c r="F199" s="2458"/>
      <c r="G199" s="2458"/>
      <c r="H199" s="2458"/>
      <c r="I199" s="2458"/>
      <c r="J199" s="2458"/>
      <c r="K199" s="2458"/>
      <c r="L199" s="2458"/>
      <c r="M199" s="2458"/>
      <c r="N199" s="2458"/>
      <c r="O199" s="2458"/>
      <c r="P199" s="2458"/>
      <c r="Q199" s="2458"/>
      <c r="R199" s="2458"/>
      <c r="S199" s="2458"/>
      <c r="T199" s="2458"/>
      <c r="U199" s="2458"/>
      <c r="V199" s="2458"/>
      <c r="W199" s="2458"/>
      <c r="X199" s="2458"/>
      <c r="Y199" s="2458"/>
      <c r="Z199" s="2458"/>
      <c r="AA199" s="2458"/>
      <c r="AB199" s="2458"/>
      <c r="AC199" s="846"/>
      <c r="AD199" s="2459">
        <f>Application!AM555</f>
        <v>11000000</v>
      </c>
      <c r="AE199" s="2459"/>
      <c r="AF199" s="2459"/>
      <c r="AG199" s="2459"/>
      <c r="AH199" s="2459"/>
      <c r="AI199" s="2459"/>
      <c r="AJ199" s="2459"/>
      <c r="AK199" s="610"/>
    </row>
    <row r="200" spans="1:40">
      <c r="A200" s="605"/>
      <c r="B200" s="2458"/>
      <c r="C200" s="2458"/>
      <c r="D200" s="2458"/>
      <c r="E200" s="2458"/>
      <c r="F200" s="2458"/>
      <c r="G200" s="2458"/>
      <c r="H200" s="2458"/>
      <c r="I200" s="2458"/>
      <c r="J200" s="2458"/>
      <c r="K200" s="2458"/>
      <c r="L200" s="2458"/>
      <c r="M200" s="2458"/>
      <c r="N200" s="2458"/>
      <c r="O200" s="2458"/>
      <c r="P200" s="2458"/>
      <c r="Q200" s="2458"/>
      <c r="R200" s="2458"/>
      <c r="S200" s="2458"/>
      <c r="T200" s="2458"/>
      <c r="U200" s="2458"/>
      <c r="V200" s="2458"/>
      <c r="W200" s="2458"/>
      <c r="X200" s="2458"/>
      <c r="Y200" s="2458"/>
      <c r="Z200" s="2458"/>
      <c r="AA200" s="2458"/>
      <c r="AB200" s="2458"/>
      <c r="AC200" s="846"/>
      <c r="AD200" s="2459"/>
      <c r="AE200" s="2459"/>
      <c r="AF200" s="2459"/>
      <c r="AG200" s="2459"/>
      <c r="AH200" s="2459"/>
      <c r="AI200" s="2459"/>
      <c r="AJ200" s="2459"/>
      <c r="AK200" s="610"/>
    </row>
    <row r="201" spans="1:40">
      <c r="A201" s="605"/>
      <c r="B201" s="2458"/>
      <c r="C201" s="2458"/>
      <c r="D201" s="2458"/>
      <c r="E201" s="2458"/>
      <c r="F201" s="2458"/>
      <c r="G201" s="2458"/>
      <c r="H201" s="2458"/>
      <c r="I201" s="2458"/>
      <c r="J201" s="2458"/>
      <c r="K201" s="2458"/>
      <c r="L201" s="2458"/>
      <c r="M201" s="2458"/>
      <c r="N201" s="2458"/>
      <c r="O201" s="2458"/>
      <c r="P201" s="2458"/>
      <c r="Q201" s="2458"/>
      <c r="R201" s="2458"/>
      <c r="S201" s="2458"/>
      <c r="T201" s="2458"/>
      <c r="U201" s="2458"/>
      <c r="V201" s="2458"/>
      <c r="W201" s="2458"/>
      <c r="X201" s="2458"/>
      <c r="Y201" s="2458"/>
      <c r="Z201" s="2458"/>
      <c r="AA201" s="2458"/>
      <c r="AB201" s="2458"/>
      <c r="AC201" s="846"/>
      <c r="AD201" s="2459"/>
      <c r="AE201" s="2459"/>
      <c r="AF201" s="2459"/>
      <c r="AG201" s="2459"/>
      <c r="AH201" s="2459"/>
      <c r="AI201" s="2459"/>
      <c r="AJ201" s="2459"/>
      <c r="AK201" s="610"/>
    </row>
    <row r="202" spans="1:40">
      <c r="A202" s="605"/>
      <c r="B202" s="2458"/>
      <c r="C202" s="2458"/>
      <c r="D202" s="2458"/>
      <c r="E202" s="2458"/>
      <c r="F202" s="2458"/>
      <c r="G202" s="2458"/>
      <c r="H202" s="2458"/>
      <c r="I202" s="2458"/>
      <c r="J202" s="2458"/>
      <c r="K202" s="2458"/>
      <c r="L202" s="2458"/>
      <c r="M202" s="2458"/>
      <c r="N202" s="2458"/>
      <c r="O202" s="2458"/>
      <c r="P202" s="2458"/>
      <c r="Q202" s="2458"/>
      <c r="R202" s="2458"/>
      <c r="S202" s="2458"/>
      <c r="T202" s="2458"/>
      <c r="U202" s="2458"/>
      <c r="V202" s="2458"/>
      <c r="W202" s="2458"/>
      <c r="X202" s="2458"/>
      <c r="Y202" s="2458"/>
      <c r="Z202" s="2458"/>
      <c r="AA202" s="2458"/>
      <c r="AB202" s="2458"/>
      <c r="AC202" s="846"/>
      <c r="AD202" s="2459"/>
      <c r="AE202" s="2459"/>
      <c r="AF202" s="2459"/>
      <c r="AG202" s="2459"/>
      <c r="AH202" s="2459"/>
      <c r="AI202" s="2459"/>
      <c r="AJ202" s="2459"/>
      <c r="AK202" s="610"/>
    </row>
    <row r="203" spans="1:40">
      <c r="A203" s="605"/>
      <c r="B203" s="2458"/>
      <c r="C203" s="2458"/>
      <c r="D203" s="2458"/>
      <c r="E203" s="2458"/>
      <c r="F203" s="2458"/>
      <c r="G203" s="2458"/>
      <c r="H203" s="2458"/>
      <c r="I203" s="2458"/>
      <c r="J203" s="2458"/>
      <c r="K203" s="2458"/>
      <c r="L203" s="2458"/>
      <c r="M203" s="2458"/>
      <c r="N203" s="2458"/>
      <c r="O203" s="2458"/>
      <c r="P203" s="2458"/>
      <c r="Q203" s="2458"/>
      <c r="R203" s="2458"/>
      <c r="S203" s="2458"/>
      <c r="T203" s="2458"/>
      <c r="U203" s="2458"/>
      <c r="V203" s="2458"/>
      <c r="W203" s="2458"/>
      <c r="X203" s="2458"/>
      <c r="Y203" s="2458"/>
      <c r="Z203" s="2458"/>
      <c r="AA203" s="2458"/>
      <c r="AB203" s="2458"/>
      <c r="AC203" s="846"/>
      <c r="AD203" s="2459"/>
      <c r="AE203" s="2459"/>
      <c r="AF203" s="2459"/>
      <c r="AG203" s="2459"/>
      <c r="AH203" s="2459"/>
      <c r="AI203" s="2459"/>
      <c r="AJ203" s="2459"/>
      <c r="AK203" s="610"/>
    </row>
    <row r="204" spans="1:40">
      <c r="A204" s="605"/>
      <c r="B204" s="2458"/>
      <c r="C204" s="2458"/>
      <c r="D204" s="2458"/>
      <c r="E204" s="2458"/>
      <c r="F204" s="2458"/>
      <c r="G204" s="2458"/>
      <c r="H204" s="2458"/>
      <c r="I204" s="2458"/>
      <c r="J204" s="2458"/>
      <c r="K204" s="2458"/>
      <c r="L204" s="2458"/>
      <c r="M204" s="2458"/>
      <c r="N204" s="2458"/>
      <c r="O204" s="2458"/>
      <c r="P204" s="2458"/>
      <c r="Q204" s="2458"/>
      <c r="R204" s="2458"/>
      <c r="S204" s="2458"/>
      <c r="T204" s="2458"/>
      <c r="U204" s="2458"/>
      <c r="V204" s="2458"/>
      <c r="W204" s="2458"/>
      <c r="X204" s="2458"/>
      <c r="Y204" s="2458"/>
      <c r="Z204" s="2458"/>
      <c r="AA204" s="2458"/>
      <c r="AB204" s="2458"/>
      <c r="AC204" s="846"/>
      <c r="AD204" s="2459"/>
      <c r="AE204" s="2459"/>
      <c r="AF204" s="2459"/>
      <c r="AG204" s="2459"/>
      <c r="AH204" s="2459"/>
      <c r="AI204" s="2459"/>
      <c r="AJ204" s="2459"/>
      <c r="AK204" s="610"/>
    </row>
    <row r="205" spans="1:40">
      <c r="A205" s="605"/>
      <c r="B205" s="2458"/>
      <c r="C205" s="2458"/>
      <c r="D205" s="2458"/>
      <c r="E205" s="2458"/>
      <c r="F205" s="2458"/>
      <c r="G205" s="2458"/>
      <c r="H205" s="2458"/>
      <c r="I205" s="2458"/>
      <c r="J205" s="2458"/>
      <c r="K205" s="2458"/>
      <c r="L205" s="2458"/>
      <c r="M205" s="2458"/>
      <c r="N205" s="2458"/>
      <c r="O205" s="2458"/>
      <c r="P205" s="2458"/>
      <c r="Q205" s="2458"/>
      <c r="R205" s="2458"/>
      <c r="S205" s="2458"/>
      <c r="T205" s="2458"/>
      <c r="U205" s="2458"/>
      <c r="V205" s="2458"/>
      <c r="W205" s="2458"/>
      <c r="X205" s="2458"/>
      <c r="Y205" s="2458"/>
      <c r="Z205" s="2458"/>
      <c r="AA205" s="2458"/>
      <c r="AB205" s="2458"/>
      <c r="AC205" s="846"/>
      <c r="AD205" s="2459"/>
      <c r="AE205" s="2459"/>
      <c r="AF205" s="2459"/>
      <c r="AG205" s="2459"/>
      <c r="AH205" s="2459"/>
      <c r="AI205" s="2459"/>
      <c r="AJ205" s="2459"/>
      <c r="AK205" s="610"/>
    </row>
    <row r="206" spans="1:40">
      <c r="A206" s="605"/>
      <c r="B206" s="2458"/>
      <c r="C206" s="2458"/>
      <c r="D206" s="2458"/>
      <c r="E206" s="2458"/>
      <c r="F206" s="2458"/>
      <c r="G206" s="2458"/>
      <c r="H206" s="2458"/>
      <c r="I206" s="2458"/>
      <c r="J206" s="2458"/>
      <c r="K206" s="2458"/>
      <c r="L206" s="2458"/>
      <c r="M206" s="2458"/>
      <c r="N206" s="2458"/>
      <c r="O206" s="2458"/>
      <c r="P206" s="2458"/>
      <c r="Q206" s="2458"/>
      <c r="R206" s="2458"/>
      <c r="S206" s="2458"/>
      <c r="T206" s="2458"/>
      <c r="U206" s="2458"/>
      <c r="V206" s="2458"/>
      <c r="W206" s="2458"/>
      <c r="X206" s="2458"/>
      <c r="Y206" s="2458"/>
      <c r="Z206" s="2458"/>
      <c r="AA206" s="2458"/>
      <c r="AB206" s="2458"/>
      <c r="AC206" s="846"/>
      <c r="AD206" s="2459"/>
      <c r="AE206" s="2459"/>
      <c r="AF206" s="2459"/>
      <c r="AG206" s="2459"/>
      <c r="AH206" s="2459"/>
      <c r="AI206" s="2459"/>
      <c r="AJ206" s="2459"/>
      <c r="AK206" s="610"/>
    </row>
    <row r="207" spans="1:40">
      <c r="A207" s="605"/>
      <c r="B207" s="2458"/>
      <c r="C207" s="2458"/>
      <c r="D207" s="2458"/>
      <c r="E207" s="2458"/>
      <c r="F207" s="2458"/>
      <c r="G207" s="2458"/>
      <c r="H207" s="2458"/>
      <c r="I207" s="2458"/>
      <c r="J207" s="2458"/>
      <c r="K207" s="2458"/>
      <c r="L207" s="2458"/>
      <c r="M207" s="2458"/>
      <c r="N207" s="2458"/>
      <c r="O207" s="2458"/>
      <c r="P207" s="2458"/>
      <c r="Q207" s="2458"/>
      <c r="R207" s="2458"/>
      <c r="S207" s="2458"/>
      <c r="T207" s="2458"/>
      <c r="U207" s="2458"/>
      <c r="V207" s="2458"/>
      <c r="W207" s="2458"/>
      <c r="X207" s="2458"/>
      <c r="Y207" s="2458"/>
      <c r="Z207" s="2458"/>
      <c r="AA207" s="2458"/>
      <c r="AB207" s="2458"/>
      <c r="AC207" s="846"/>
      <c r="AD207" s="2459"/>
      <c r="AE207" s="2459"/>
      <c r="AF207" s="2459"/>
      <c r="AG207" s="2459"/>
      <c r="AH207" s="2459"/>
      <c r="AI207" s="2459"/>
      <c r="AJ207" s="2459"/>
      <c r="AK207" s="610"/>
    </row>
    <row r="208" spans="1:40">
      <c r="A208" s="605"/>
      <c r="B208" s="2458"/>
      <c r="C208" s="2458"/>
      <c r="D208" s="2458"/>
      <c r="E208" s="2458"/>
      <c r="F208" s="2458"/>
      <c r="G208" s="2458"/>
      <c r="H208" s="2458"/>
      <c r="I208" s="2458"/>
      <c r="J208" s="2458"/>
      <c r="K208" s="2458"/>
      <c r="L208" s="2458"/>
      <c r="M208" s="2458"/>
      <c r="N208" s="2458"/>
      <c r="O208" s="2458"/>
      <c r="P208" s="2458"/>
      <c r="Q208" s="2458"/>
      <c r="R208" s="2458"/>
      <c r="S208" s="2458"/>
      <c r="T208" s="2458"/>
      <c r="U208" s="2458"/>
      <c r="V208" s="2458"/>
      <c r="W208" s="2458"/>
      <c r="X208" s="2458"/>
      <c r="Y208" s="2458"/>
      <c r="Z208" s="2458"/>
      <c r="AA208" s="2458"/>
      <c r="AB208" s="2458"/>
      <c r="AC208" s="846"/>
      <c r="AD208" s="2459"/>
      <c r="AE208" s="2459"/>
      <c r="AF208" s="2459"/>
      <c r="AG208" s="2459"/>
      <c r="AH208" s="2459"/>
      <c r="AI208" s="2459"/>
      <c r="AJ208" s="2459"/>
      <c r="AK208" s="610"/>
    </row>
    <row r="209" spans="1:37">
      <c r="A209" s="605"/>
      <c r="B209" s="2469" t="s">
        <v>1626</v>
      </c>
      <c r="C209" s="2469"/>
      <c r="D209" s="2469"/>
      <c r="E209" s="2469"/>
      <c r="F209" s="2469"/>
      <c r="G209" s="2469"/>
      <c r="H209" s="2469"/>
      <c r="I209" s="2469"/>
      <c r="J209" s="2469"/>
      <c r="K209" s="2469"/>
      <c r="L209" s="2469"/>
      <c r="M209" s="2469"/>
      <c r="N209" s="2469"/>
      <c r="O209" s="2469"/>
      <c r="P209" s="2469"/>
      <c r="Q209" s="2469"/>
      <c r="R209" s="2469"/>
      <c r="S209" s="2469"/>
      <c r="T209" s="2469"/>
      <c r="U209" s="2469"/>
      <c r="V209" s="2469"/>
      <c r="W209" s="2469"/>
      <c r="X209" s="2469"/>
      <c r="Y209" s="2469"/>
      <c r="Z209" s="2469"/>
      <c r="AA209" s="2469"/>
      <c r="AB209" s="2469"/>
      <c r="AC209" s="536"/>
      <c r="AD209" s="2488">
        <f>AB260</f>
        <v>0</v>
      </c>
      <c r="AE209" s="2488"/>
      <c r="AF209" s="2488"/>
      <c r="AG209" s="2488"/>
      <c r="AH209" s="2488"/>
      <c r="AI209" s="2488"/>
      <c r="AJ209" s="2488"/>
      <c r="AK209" s="610"/>
    </row>
    <row r="210" spans="1:37">
      <c r="A210" s="605"/>
      <c r="B210" s="2615" t="s">
        <v>1589</v>
      </c>
      <c r="C210" s="2615"/>
      <c r="D210" s="2615"/>
      <c r="E210" s="2615"/>
      <c r="F210" s="2615"/>
      <c r="G210" s="2615"/>
      <c r="H210" s="2615"/>
      <c r="I210" s="2615"/>
      <c r="J210" s="2615"/>
      <c r="K210" s="2615"/>
      <c r="L210" s="2615"/>
      <c r="M210" s="2615"/>
      <c r="N210" s="2615"/>
      <c r="O210" s="2615"/>
      <c r="P210" s="2615"/>
      <c r="Q210" s="2615"/>
      <c r="R210" s="2615"/>
      <c r="S210" s="2615"/>
      <c r="T210" s="2615"/>
      <c r="U210" s="2615"/>
      <c r="V210" s="2615"/>
      <c r="W210" s="2615"/>
      <c r="X210" s="2615"/>
      <c r="Y210" s="2615"/>
      <c r="Z210" s="2615"/>
      <c r="AA210" s="2615"/>
      <c r="AB210" s="2615"/>
      <c r="AC210" s="846"/>
      <c r="AD210" s="2489">
        <f>'Sources and Uses Budget'!B15</f>
        <v>0</v>
      </c>
      <c r="AE210" s="2489"/>
      <c r="AF210" s="2489"/>
      <c r="AG210" s="2489"/>
      <c r="AH210" s="2489"/>
      <c r="AI210" s="2489"/>
      <c r="AJ210" s="2489"/>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3">
        <f>SUM(AD199:AJ209)-AD210</f>
        <v>11000000</v>
      </c>
      <c r="AE211" s="2493"/>
      <c r="AF211" s="2493"/>
      <c r="AG211" s="2493"/>
      <c r="AH211" s="2493"/>
      <c r="AI211" s="2493"/>
      <c r="AJ211" s="2493"/>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2" t="s">
        <v>1606</v>
      </c>
      <c r="J222" s="2462"/>
      <c r="K222" s="2462"/>
      <c r="L222" s="536"/>
      <c r="M222" s="536"/>
      <c r="N222" s="536"/>
      <c r="O222" s="536"/>
      <c r="P222" s="536"/>
      <c r="Q222" s="536"/>
      <c r="R222" s="536"/>
      <c r="S222" s="536"/>
      <c r="T222" s="2650" t="s">
        <v>1600</v>
      </c>
      <c r="U222" s="2650"/>
      <c r="V222" s="2650"/>
      <c r="W222" s="2650"/>
      <c r="X222" s="2650"/>
      <c r="Y222" s="2650"/>
      <c r="Z222" s="849"/>
      <c r="AA222" s="489"/>
      <c r="AB222" s="2457" t="s">
        <v>1601</v>
      </c>
      <c r="AC222" s="2457"/>
      <c r="AD222" s="2457"/>
      <c r="AE222" s="2457"/>
      <c r="AF222" s="2457"/>
      <c r="AG222" s="2457"/>
      <c r="AH222" s="827"/>
      <c r="AI222" s="827"/>
      <c r="AJ222" s="827"/>
      <c r="AK222" s="610"/>
    </row>
    <row r="223" spans="1:37">
      <c r="A223" s="605"/>
      <c r="B223" s="2460" t="s">
        <v>1586</v>
      </c>
      <c r="C223" s="2460"/>
      <c r="D223" s="2460"/>
      <c r="E223" s="2460"/>
      <c r="F223" s="2460"/>
      <c r="G223" s="2460"/>
      <c r="I223" s="2461" t="s">
        <v>1607</v>
      </c>
      <c r="J223" s="2461"/>
      <c r="K223" s="2461"/>
      <c r="L223" s="1007"/>
      <c r="N223" s="2467" t="s">
        <v>1602</v>
      </c>
      <c r="O223" s="2467"/>
      <c r="P223" s="2467"/>
      <c r="Q223" s="2467"/>
      <c r="R223" s="2467"/>
      <c r="T223" s="2467" t="s">
        <v>1603</v>
      </c>
      <c r="U223" s="2467"/>
      <c r="V223" s="2467"/>
      <c r="W223" s="2467"/>
      <c r="X223" s="2467"/>
      <c r="Y223" s="2467"/>
      <c r="Z223" s="850"/>
      <c r="AA223" s="489"/>
      <c r="AB223" s="2604" t="s">
        <v>1604</v>
      </c>
      <c r="AC223" s="2604"/>
      <c r="AD223" s="2604"/>
      <c r="AE223" s="2604"/>
      <c r="AF223" s="2604"/>
      <c r="AG223" s="2604"/>
      <c r="AH223" s="827"/>
      <c r="AI223" s="827"/>
      <c r="AJ223" s="827"/>
      <c r="AK223" s="610"/>
    </row>
    <row r="224" spans="1:37">
      <c r="A224" s="605"/>
      <c r="B224" s="2464" t="s">
        <v>1183</v>
      </c>
      <c r="C224" s="2464"/>
      <c r="D224" s="2464"/>
      <c r="E224" s="2464"/>
      <c r="F224" s="2464"/>
      <c r="G224" s="2464"/>
      <c r="H224" s="852"/>
      <c r="I224" s="2463"/>
      <c r="J224" s="2463"/>
      <c r="K224" s="2463"/>
      <c r="L224" s="1007"/>
      <c r="N224" s="2468"/>
      <c r="O224" s="2468"/>
      <c r="P224" s="2468"/>
      <c r="Q224" s="2468"/>
      <c r="R224" s="2468"/>
      <c r="T224" s="2616"/>
      <c r="U224" s="2616"/>
      <c r="V224" s="2616"/>
      <c r="W224" s="2616"/>
      <c r="X224" s="2616"/>
      <c r="Y224" s="2616"/>
      <c r="Z224" s="851"/>
      <c r="AA224" s="851"/>
      <c r="AB224" s="2465">
        <f t="shared" ref="AB224:AB233" si="0">MAX(($T224-$N224)*$I224*12,0)</f>
        <v>0</v>
      </c>
      <c r="AC224" s="2465"/>
      <c r="AD224" s="2465"/>
      <c r="AE224" s="2465"/>
      <c r="AF224" s="2465"/>
      <c r="AG224" s="2465"/>
      <c r="AH224" s="827"/>
      <c r="AI224" s="827"/>
      <c r="AJ224" s="827"/>
      <c r="AK224" s="610"/>
    </row>
    <row r="225" spans="1:37">
      <c r="A225" s="605"/>
      <c r="B225" s="2464" t="s">
        <v>1183</v>
      </c>
      <c r="C225" s="2464"/>
      <c r="D225" s="2464"/>
      <c r="E225" s="2464"/>
      <c r="F225" s="2464"/>
      <c r="G225" s="2464"/>
      <c r="I225" s="2463"/>
      <c r="J225" s="2463"/>
      <c r="K225" s="2463"/>
      <c r="L225" s="1007"/>
      <c r="N225" s="2468"/>
      <c r="O225" s="2468"/>
      <c r="P225" s="2468"/>
      <c r="Q225" s="2468"/>
      <c r="R225" s="2468"/>
      <c r="T225" s="2616"/>
      <c r="U225" s="2616"/>
      <c r="V225" s="2616"/>
      <c r="W225" s="2616"/>
      <c r="X225" s="2616"/>
      <c r="Y225" s="2616"/>
      <c r="Z225" s="851"/>
      <c r="AA225" s="851"/>
      <c r="AB225" s="2465">
        <f t="shared" si="0"/>
        <v>0</v>
      </c>
      <c r="AC225" s="2465"/>
      <c r="AD225" s="2465"/>
      <c r="AE225" s="2465"/>
      <c r="AF225" s="2465"/>
      <c r="AG225" s="2465"/>
      <c r="AH225" s="827"/>
      <c r="AI225" s="827"/>
      <c r="AJ225" s="827"/>
      <c r="AK225" s="610"/>
    </row>
    <row r="226" spans="1:37">
      <c r="A226" s="605"/>
      <c r="B226" s="2464" t="s">
        <v>1183</v>
      </c>
      <c r="C226" s="2464"/>
      <c r="D226" s="2464"/>
      <c r="E226" s="2464"/>
      <c r="F226" s="2464"/>
      <c r="G226" s="2464"/>
      <c r="I226" s="2463"/>
      <c r="J226" s="2463"/>
      <c r="K226" s="2463"/>
      <c r="L226" s="1007"/>
      <c r="N226" s="2468"/>
      <c r="O226" s="2468"/>
      <c r="P226" s="2468"/>
      <c r="Q226" s="2468"/>
      <c r="R226" s="2468"/>
      <c r="T226" s="2616"/>
      <c r="U226" s="2616"/>
      <c r="V226" s="2616"/>
      <c r="W226" s="2616"/>
      <c r="X226" s="2616"/>
      <c r="Y226" s="2616"/>
      <c r="Z226" s="851"/>
      <c r="AA226" s="851"/>
      <c r="AB226" s="2465">
        <f t="shared" si="0"/>
        <v>0</v>
      </c>
      <c r="AC226" s="2465"/>
      <c r="AD226" s="2465"/>
      <c r="AE226" s="2465"/>
      <c r="AF226" s="2465"/>
      <c r="AG226" s="2465"/>
      <c r="AH226" s="827"/>
      <c r="AI226" s="827"/>
      <c r="AJ226" s="827"/>
      <c r="AK226" s="610"/>
    </row>
    <row r="227" spans="1:37">
      <c r="A227" s="605"/>
      <c r="B227" s="2464" t="s">
        <v>1183</v>
      </c>
      <c r="C227" s="2464"/>
      <c r="D227" s="2464"/>
      <c r="E227" s="2464"/>
      <c r="F227" s="2464"/>
      <c r="G227" s="2464"/>
      <c r="I227" s="2463"/>
      <c r="J227" s="2463"/>
      <c r="K227" s="2463"/>
      <c r="L227" s="1007"/>
      <c r="N227" s="2468"/>
      <c r="O227" s="2468"/>
      <c r="P227" s="2468"/>
      <c r="Q227" s="2468"/>
      <c r="R227" s="2468"/>
      <c r="T227" s="2616"/>
      <c r="U227" s="2616"/>
      <c r="V227" s="2616"/>
      <c r="W227" s="2616"/>
      <c r="X227" s="2616"/>
      <c r="Y227" s="2616"/>
      <c r="Z227" s="851"/>
      <c r="AA227" s="851"/>
      <c r="AB227" s="2465">
        <f t="shared" si="0"/>
        <v>0</v>
      </c>
      <c r="AC227" s="2465"/>
      <c r="AD227" s="2465"/>
      <c r="AE227" s="2465"/>
      <c r="AF227" s="2465"/>
      <c r="AG227" s="2465"/>
      <c r="AH227" s="827"/>
      <c r="AI227" s="827"/>
      <c r="AJ227" s="827"/>
      <c r="AK227" s="610"/>
    </row>
    <row r="228" spans="1:37">
      <c r="A228" s="605"/>
      <c r="B228" s="2464" t="s">
        <v>1183</v>
      </c>
      <c r="C228" s="2464"/>
      <c r="D228" s="2464"/>
      <c r="E228" s="2464"/>
      <c r="F228" s="2464"/>
      <c r="G228" s="2464"/>
      <c r="I228" s="2463"/>
      <c r="J228" s="2463"/>
      <c r="K228" s="2463"/>
      <c r="L228" s="1014"/>
      <c r="N228" s="2468"/>
      <c r="O228" s="2468"/>
      <c r="P228" s="2468"/>
      <c r="Q228" s="2468"/>
      <c r="R228" s="2468"/>
      <c r="T228" s="2616"/>
      <c r="U228" s="2616"/>
      <c r="V228" s="2616"/>
      <c r="W228" s="2616"/>
      <c r="X228" s="2616"/>
      <c r="Y228" s="2616"/>
      <c r="Z228" s="851"/>
      <c r="AA228" s="851"/>
      <c r="AB228" s="2465">
        <f t="shared" si="0"/>
        <v>0</v>
      </c>
      <c r="AC228" s="2465"/>
      <c r="AD228" s="2465"/>
      <c r="AE228" s="2465"/>
      <c r="AF228" s="2465"/>
      <c r="AG228" s="2465"/>
      <c r="AH228" s="827"/>
      <c r="AI228" s="827"/>
      <c r="AJ228" s="827"/>
      <c r="AK228" s="610"/>
    </row>
    <row r="229" spans="1:37">
      <c r="A229" s="605"/>
      <c r="B229" s="2464" t="s">
        <v>1183</v>
      </c>
      <c r="C229" s="2464"/>
      <c r="D229" s="2464"/>
      <c r="E229" s="2464"/>
      <c r="F229" s="2464"/>
      <c r="G229" s="2464"/>
      <c r="I229" s="2463"/>
      <c r="J229" s="2463"/>
      <c r="K229" s="2463"/>
      <c r="L229" s="1014"/>
      <c r="N229" s="2468"/>
      <c r="O229" s="2468"/>
      <c r="P229" s="2468"/>
      <c r="Q229" s="2468"/>
      <c r="R229" s="2468"/>
      <c r="T229" s="2616"/>
      <c r="U229" s="2616"/>
      <c r="V229" s="2616"/>
      <c r="W229" s="2616"/>
      <c r="X229" s="2616"/>
      <c r="Y229" s="2616"/>
      <c r="Z229" s="851"/>
      <c r="AA229" s="851"/>
      <c r="AB229" s="2465">
        <f t="shared" si="0"/>
        <v>0</v>
      </c>
      <c r="AC229" s="2465"/>
      <c r="AD229" s="2465"/>
      <c r="AE229" s="2465"/>
      <c r="AF229" s="2465"/>
      <c r="AG229" s="2465"/>
      <c r="AH229" s="827"/>
      <c r="AI229" s="827"/>
      <c r="AJ229" s="827"/>
      <c r="AK229" s="610"/>
    </row>
    <row r="230" spans="1:37">
      <c r="A230" s="605"/>
      <c r="B230" s="2464" t="s">
        <v>1183</v>
      </c>
      <c r="C230" s="2464"/>
      <c r="D230" s="2464"/>
      <c r="E230" s="2464"/>
      <c r="F230" s="2464"/>
      <c r="G230" s="2464"/>
      <c r="I230" s="2463"/>
      <c r="J230" s="2463"/>
      <c r="K230" s="2463"/>
      <c r="L230" s="1014"/>
      <c r="N230" s="2468"/>
      <c r="O230" s="2468"/>
      <c r="P230" s="2468"/>
      <c r="Q230" s="2468"/>
      <c r="R230" s="2468"/>
      <c r="T230" s="2616"/>
      <c r="U230" s="2616"/>
      <c r="V230" s="2616"/>
      <c r="W230" s="2616"/>
      <c r="X230" s="2616"/>
      <c r="Y230" s="2616"/>
      <c r="Z230" s="851"/>
      <c r="AA230" s="851"/>
      <c r="AB230" s="2465">
        <f t="shared" si="0"/>
        <v>0</v>
      </c>
      <c r="AC230" s="2465"/>
      <c r="AD230" s="2465"/>
      <c r="AE230" s="2465"/>
      <c r="AF230" s="2465"/>
      <c r="AG230" s="2465"/>
      <c r="AH230" s="827"/>
      <c r="AI230" s="827"/>
      <c r="AJ230" s="827"/>
      <c r="AK230" s="610"/>
    </row>
    <row r="231" spans="1:37">
      <c r="A231" s="605"/>
      <c r="B231" s="2464" t="s">
        <v>1183</v>
      </c>
      <c r="C231" s="2464"/>
      <c r="D231" s="2464"/>
      <c r="E231" s="2464"/>
      <c r="F231" s="2464"/>
      <c r="G231" s="2464"/>
      <c r="I231" s="2463"/>
      <c r="J231" s="2463"/>
      <c r="K231" s="2463"/>
      <c r="L231" s="1014"/>
      <c r="N231" s="2468"/>
      <c r="O231" s="2468"/>
      <c r="P231" s="2468"/>
      <c r="Q231" s="2468"/>
      <c r="R231" s="2468"/>
      <c r="T231" s="2616"/>
      <c r="U231" s="2616"/>
      <c r="V231" s="2616"/>
      <c r="W231" s="2616"/>
      <c r="X231" s="2616"/>
      <c r="Y231" s="2616"/>
      <c r="Z231" s="851"/>
      <c r="AA231" s="851"/>
      <c r="AB231" s="2465">
        <f t="shared" si="0"/>
        <v>0</v>
      </c>
      <c r="AC231" s="2465"/>
      <c r="AD231" s="2465"/>
      <c r="AE231" s="2465"/>
      <c r="AF231" s="2465"/>
      <c r="AG231" s="2465"/>
      <c r="AH231" s="827"/>
      <c r="AI231" s="827"/>
      <c r="AJ231" s="827"/>
      <c r="AK231" s="610"/>
    </row>
    <row r="232" spans="1:37">
      <c r="A232" s="605"/>
      <c r="B232" s="2464" t="s">
        <v>1183</v>
      </c>
      <c r="C232" s="2464"/>
      <c r="D232" s="2464"/>
      <c r="E232" s="2464"/>
      <c r="F232" s="2464"/>
      <c r="G232" s="2464"/>
      <c r="I232" s="2463"/>
      <c r="J232" s="2463"/>
      <c r="K232" s="2463"/>
      <c r="L232" s="1014"/>
      <c r="N232" s="2468"/>
      <c r="O232" s="2468"/>
      <c r="P232" s="2468"/>
      <c r="Q232" s="2468"/>
      <c r="R232" s="2468"/>
      <c r="T232" s="2616"/>
      <c r="U232" s="2616"/>
      <c r="V232" s="2616"/>
      <c r="W232" s="2616"/>
      <c r="X232" s="2616"/>
      <c r="Y232" s="2616"/>
      <c r="Z232" s="851"/>
      <c r="AA232" s="851"/>
      <c r="AB232" s="2465">
        <f t="shared" si="0"/>
        <v>0</v>
      </c>
      <c r="AC232" s="2465"/>
      <c r="AD232" s="2465"/>
      <c r="AE232" s="2465"/>
      <c r="AF232" s="2465"/>
      <c r="AG232" s="2465"/>
      <c r="AH232" s="827"/>
      <c r="AI232" s="827"/>
      <c r="AJ232" s="827"/>
      <c r="AK232" s="610"/>
    </row>
    <row r="233" spans="1:37">
      <c r="A233" s="605"/>
      <c r="B233" s="2464" t="s">
        <v>1183</v>
      </c>
      <c r="C233" s="2464"/>
      <c r="D233" s="2464"/>
      <c r="E233" s="2464"/>
      <c r="F233" s="2464"/>
      <c r="G233" s="2464"/>
      <c r="I233" s="2466"/>
      <c r="J233" s="2466"/>
      <c r="K233" s="2466"/>
      <c r="L233" s="1014"/>
      <c r="N233" s="2468"/>
      <c r="O233" s="2468"/>
      <c r="P233" s="2468"/>
      <c r="Q233" s="2468"/>
      <c r="R233" s="2468"/>
      <c r="T233" s="2616"/>
      <c r="U233" s="2616"/>
      <c r="V233" s="2616"/>
      <c r="W233" s="2616"/>
      <c r="X233" s="2616"/>
      <c r="Y233" s="2616"/>
      <c r="Z233" s="851"/>
      <c r="AA233" s="851"/>
      <c r="AB233" s="2614">
        <f t="shared" si="0"/>
        <v>0</v>
      </c>
      <c r="AC233" s="2614"/>
      <c r="AD233" s="2614"/>
      <c r="AE233" s="2614"/>
      <c r="AF233" s="2614"/>
      <c r="AG233" s="2614"/>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65">
        <f>SUM(AB224:AB233)</f>
        <v>0</v>
      </c>
      <c r="AC234" s="2465"/>
      <c r="AD234" s="2465"/>
      <c r="AE234" s="2465"/>
      <c r="AF234" s="2465"/>
      <c r="AG234" s="2465"/>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5"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7"/>
      <c r="AC240" s="2617"/>
      <c r="AD240" s="2617"/>
      <c r="AE240" s="2617"/>
      <c r="AF240" s="2617"/>
      <c r="AG240" s="2617"/>
      <c r="AH240" s="610"/>
      <c r="AI240" s="610"/>
      <c r="AJ240" s="610"/>
      <c r="AK240" s="610"/>
    </row>
    <row r="241" spans="1:37">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7"/>
      <c r="AC243" s="2617"/>
      <c r="AD243" s="2617"/>
      <c r="AE243" s="2617"/>
      <c r="AF243" s="2617"/>
      <c r="AG243" s="2617"/>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9"/>
      <c r="AC244" s="2649"/>
      <c r="AD244" s="2649"/>
      <c r="AE244" s="2649"/>
      <c r="AF244" s="2649"/>
      <c r="AG244" s="2649"/>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1">
        <f>IFERROR(AB243/AB244,0)</f>
        <v>0</v>
      </c>
      <c r="AC245" s="2631"/>
      <c r="AD245" s="2631"/>
      <c r="AE245" s="2631"/>
      <c r="AF245" s="2631"/>
      <c r="AG245" s="2631"/>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4">
        <f>MAX(AB240,AB245)</f>
        <v>0</v>
      </c>
      <c r="AC247" s="2614"/>
      <c r="AD247" s="2614"/>
      <c r="AE247" s="2614"/>
      <c r="AF247" s="2614"/>
      <c r="AG247" s="2614"/>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5">
        <f>AB234+AB247</f>
        <v>0</v>
      </c>
      <c r="AC250" s="2465"/>
      <c r="AD250" s="2465"/>
      <c r="AE250" s="2465"/>
      <c r="AF250" s="2465"/>
      <c r="AG250" s="2465"/>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7">
        <v>0.05</v>
      </c>
      <c r="AC251" s="2497"/>
      <c r="AD251" s="2497"/>
      <c r="AE251" s="2497"/>
      <c r="AF251" s="2497"/>
      <c r="AG251" s="2497"/>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8">
        <f>AB250-(AB250*AB251)</f>
        <v>0</v>
      </c>
      <c r="AC252" s="2498"/>
      <c r="AD252" s="2498"/>
      <c r="AE252" s="2498"/>
      <c r="AF252" s="2498"/>
      <c r="AG252" s="2498"/>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5">
        <f>AB252/AB258</f>
        <v>0</v>
      </c>
      <c r="AC254" s="2465"/>
      <c r="AD254" s="2465"/>
      <c r="AE254" s="2465"/>
      <c r="AF254" s="2465"/>
      <c r="AG254" s="2465"/>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7">
        <v>15</v>
      </c>
      <c r="AC256" s="2457"/>
      <c r="AD256" s="2457"/>
      <c r="AE256" s="2457"/>
      <c r="AF256" s="2457"/>
      <c r="AG256" s="2457"/>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9">
        <v>0.04</v>
      </c>
      <c r="AC257" s="2499"/>
      <c r="AD257" s="2499"/>
      <c r="AE257" s="2499"/>
      <c r="AF257" s="2499"/>
      <c r="AG257" s="2499"/>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0">
        <v>1.1499999999999999</v>
      </c>
      <c r="AC258" s="2470"/>
      <c r="AD258" s="2470"/>
      <c r="AE258" s="2470"/>
      <c r="AF258" s="2470"/>
      <c r="AG258" s="2470"/>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0">
        <f>PV(AB257/12,AB256*12,-AB254/12, ,0)</f>
        <v>0</v>
      </c>
      <c r="AC260" s="2491"/>
      <c r="AD260" s="2491"/>
      <c r="AE260" s="2491"/>
      <c r="AF260" s="2491"/>
      <c r="AG260" s="2492"/>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4">
        <f>IFERROR(('Sources and Uses Budget'!D105/'Sources and Uses Budget'!B105),0)</f>
        <v>0</v>
      </c>
      <c r="AC266" s="2495"/>
      <c r="AD266" s="2495"/>
      <c r="AE266" s="2495"/>
      <c r="AF266" s="2495"/>
      <c r="AG266" s="2496"/>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4">
        <f>AD211*(1-AB266)</f>
        <v>11000000</v>
      </c>
      <c r="AH268" s="2484"/>
      <c r="AI268" s="2484"/>
      <c r="AJ268" s="2484"/>
      <c r="AK268" s="2484"/>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4">
        <f>'Sources and Uses Budget'!C105</f>
        <v>124739671</v>
      </c>
      <c r="AH269" s="2484"/>
      <c r="AI269" s="2484"/>
      <c r="AJ269" s="2484"/>
      <c r="AK269" s="2484"/>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5">
        <f>ROUNDDOWN(IF(AND(C292="Yes",AK84=10),((AG268*2)/AG269),AG268/AG269),2)</f>
        <v>0.08</v>
      </c>
      <c r="AH270" s="2485"/>
      <c r="AI270" s="2485"/>
      <c r="AJ270" s="2485"/>
      <c r="AK270" s="2485"/>
    </row>
    <row r="271" spans="1:37">
      <c r="A271" s="622"/>
      <c r="B271" s="977"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6"/>
      <c r="AH271" s="976"/>
      <c r="AI271" s="976"/>
      <c r="AJ271" s="976"/>
      <c r="AK271" s="976"/>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486">
        <f>IFERROR(IF(AG270=0,0,IF((AG270*100)&gt;8,8,(AG270*100))),0)</f>
        <v>8</v>
      </c>
      <c r="AL273" s="2486"/>
      <c r="AM273" s="2487"/>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8" t="s">
        <v>545</v>
      </c>
      <c r="D278" s="2478"/>
      <c r="E278" s="547"/>
      <c r="F278" s="2635" t="s">
        <v>2024</v>
      </c>
      <c r="G278" s="2636"/>
      <c r="H278" s="2636"/>
      <c r="I278" s="2636"/>
      <c r="J278" s="2636"/>
      <c r="K278" s="2636"/>
      <c r="L278" s="2636"/>
      <c r="M278" s="2636"/>
      <c r="N278" s="2636"/>
      <c r="O278" s="2636"/>
      <c r="P278" s="2636"/>
      <c r="Q278" s="2636"/>
      <c r="R278" s="2636"/>
      <c r="S278" s="2636"/>
      <c r="T278" s="2636"/>
      <c r="U278" s="2636"/>
      <c r="V278" s="2636"/>
      <c r="W278" s="2636"/>
      <c r="X278" s="2636"/>
      <c r="Y278" s="2636"/>
      <c r="Z278" s="2636"/>
      <c r="AA278" s="2636"/>
      <c r="AB278" s="2636"/>
      <c r="AC278" s="2636"/>
      <c r="AD278" s="2637"/>
      <c r="AE278" s="550"/>
      <c r="AF278" s="635"/>
      <c r="AG278" s="2479" t="s">
        <v>1362</v>
      </c>
      <c r="AH278" s="2479"/>
      <c r="AI278" s="2479"/>
      <c r="AJ278" s="2479"/>
      <c r="AK278" s="550"/>
      <c r="AL278" s="550"/>
      <c r="AM278" s="550"/>
      <c r="AO278" s="550"/>
    </row>
    <row r="279" spans="1:52" ht="13.7" customHeight="1">
      <c r="A279" s="550"/>
      <c r="B279" s="596"/>
      <c r="C279" s="636"/>
      <c r="D279" s="550"/>
      <c r="E279" s="547"/>
      <c r="F279" s="2638"/>
      <c r="G279" s="2639"/>
      <c r="H279" s="2639"/>
      <c r="I279" s="2639"/>
      <c r="J279" s="2639"/>
      <c r="K279" s="2639"/>
      <c r="L279" s="2639"/>
      <c r="M279" s="2639"/>
      <c r="N279" s="2639"/>
      <c r="O279" s="2639"/>
      <c r="P279" s="2639"/>
      <c r="Q279" s="2639"/>
      <c r="R279" s="2639"/>
      <c r="S279" s="2639"/>
      <c r="T279" s="2639"/>
      <c r="U279" s="2639"/>
      <c r="V279" s="2639"/>
      <c r="W279" s="2639"/>
      <c r="X279" s="2639"/>
      <c r="Y279" s="2639"/>
      <c r="Z279" s="2639"/>
      <c r="AA279" s="2639"/>
      <c r="AB279" s="2639"/>
      <c r="AC279" s="2639"/>
      <c r="AD279" s="2640"/>
      <c r="AE279" s="550"/>
      <c r="AF279" s="635"/>
      <c r="AG279" s="635"/>
      <c r="AH279" s="635"/>
      <c r="AI279" s="635"/>
      <c r="AJ279" s="550"/>
      <c r="AK279" s="550"/>
      <c r="AL279" s="550"/>
      <c r="AM279" s="550"/>
      <c r="AO279" s="550"/>
    </row>
    <row r="280" spans="1:52">
      <c r="A280" s="550"/>
      <c r="B280" s="596"/>
      <c r="C280" s="636"/>
      <c r="D280" s="550"/>
      <c r="E280" s="547"/>
      <c r="F280" s="2638"/>
      <c r="G280" s="2639"/>
      <c r="H280" s="2639"/>
      <c r="I280" s="2639"/>
      <c r="J280" s="2639"/>
      <c r="K280" s="2639"/>
      <c r="L280" s="2639"/>
      <c r="M280" s="2639"/>
      <c r="N280" s="2639"/>
      <c r="O280" s="2639"/>
      <c r="P280" s="2639"/>
      <c r="Q280" s="2639"/>
      <c r="R280" s="2639"/>
      <c r="S280" s="2639"/>
      <c r="T280" s="2639"/>
      <c r="U280" s="2639"/>
      <c r="V280" s="2639"/>
      <c r="W280" s="2639"/>
      <c r="X280" s="2639"/>
      <c r="Y280" s="2639"/>
      <c r="Z280" s="2639"/>
      <c r="AA280" s="2639"/>
      <c r="AB280" s="2639"/>
      <c r="AC280" s="2639"/>
      <c r="AD280" s="2640"/>
      <c r="AE280" s="550"/>
      <c r="AF280" s="635"/>
      <c r="AG280" s="635"/>
      <c r="AH280" s="635"/>
      <c r="AI280" s="635"/>
      <c r="AJ280" s="550"/>
      <c r="AK280" s="550"/>
      <c r="AL280" s="550"/>
      <c r="AM280" s="550"/>
      <c r="AO280" s="550"/>
      <c r="AP280" s="637"/>
    </row>
    <row r="281" spans="1:52">
      <c r="A281" s="550"/>
      <c r="B281" s="596"/>
      <c r="C281" s="636"/>
      <c r="D281" s="550"/>
      <c r="E281" s="547"/>
      <c r="F281" s="2638"/>
      <c r="G281" s="2639"/>
      <c r="H281" s="2639"/>
      <c r="I281" s="2639"/>
      <c r="J281" s="2639"/>
      <c r="K281" s="2639"/>
      <c r="L281" s="2639"/>
      <c r="M281" s="2639"/>
      <c r="N281" s="2639"/>
      <c r="O281" s="2639"/>
      <c r="P281" s="2639"/>
      <c r="Q281" s="2639"/>
      <c r="R281" s="2639"/>
      <c r="S281" s="2639"/>
      <c r="T281" s="2639"/>
      <c r="U281" s="2639"/>
      <c r="V281" s="2639"/>
      <c r="W281" s="2639"/>
      <c r="X281" s="2639"/>
      <c r="Y281" s="2639"/>
      <c r="Z281" s="2639"/>
      <c r="AA281" s="2639"/>
      <c r="AB281" s="2639"/>
      <c r="AC281" s="2639"/>
      <c r="AD281" s="2640"/>
      <c r="AE281" s="550"/>
      <c r="AF281" s="635"/>
      <c r="AG281" s="635"/>
      <c r="AH281" s="635"/>
      <c r="AI281" s="635"/>
      <c r="AJ281" s="550"/>
      <c r="AK281" s="550"/>
      <c r="AL281" s="550"/>
      <c r="AM281" s="550"/>
      <c r="AO281" s="550"/>
      <c r="AP281" s="637"/>
    </row>
    <row r="282" spans="1:52" ht="13.7" customHeight="1">
      <c r="A282" s="550"/>
      <c r="B282" s="596"/>
      <c r="C282" s="2480"/>
      <c r="D282" s="2480"/>
      <c r="E282" s="547"/>
      <c r="F282" s="2641"/>
      <c r="G282" s="2642"/>
      <c r="H282" s="2642"/>
      <c r="I282" s="2642"/>
      <c r="J282" s="2642"/>
      <c r="K282" s="2642"/>
      <c r="L282" s="2642"/>
      <c r="M282" s="2642"/>
      <c r="N282" s="2642"/>
      <c r="O282" s="2642"/>
      <c r="P282" s="2642"/>
      <c r="Q282" s="2642"/>
      <c r="R282" s="2642"/>
      <c r="S282" s="2642"/>
      <c r="T282" s="2642"/>
      <c r="U282" s="2642"/>
      <c r="V282" s="2642"/>
      <c r="W282" s="2642"/>
      <c r="X282" s="2642"/>
      <c r="Y282" s="2642"/>
      <c r="Z282" s="2642"/>
      <c r="AA282" s="2642"/>
      <c r="AB282" s="2642"/>
      <c r="AC282" s="2642"/>
      <c r="AD282" s="2643"/>
      <c r="AE282" s="550"/>
      <c r="AF282" s="635"/>
      <c r="AG282" s="2479"/>
      <c r="AH282" s="2479"/>
      <c r="AI282" s="2479"/>
      <c r="AJ282" s="2479"/>
      <c r="AK282" s="550"/>
      <c r="AL282" s="550"/>
      <c r="AM282" s="550"/>
    </row>
    <row r="283" spans="1:52" ht="13.7" hidden="1" customHeight="1">
      <c r="A283" s="550"/>
      <c r="C283" s="603"/>
      <c r="D283" s="603"/>
      <c r="E283" s="603"/>
      <c r="F283" s="1022"/>
      <c r="G283" s="1023"/>
      <c r="H283" s="1023"/>
      <c r="I283" s="1023"/>
      <c r="J283" s="1023"/>
      <c r="K283" s="1023"/>
      <c r="L283" s="1023"/>
      <c r="M283" s="1023"/>
      <c r="N283" s="1023"/>
      <c r="O283" s="1023"/>
      <c r="P283" s="1023"/>
      <c r="Q283" s="1023"/>
      <c r="R283" s="1023"/>
      <c r="S283" s="1023"/>
      <c r="T283" s="1023"/>
      <c r="U283" s="1023"/>
      <c r="V283" s="1023"/>
      <c r="W283" s="1023"/>
      <c r="X283" s="1023"/>
      <c r="Y283" s="1023"/>
      <c r="Z283" s="1023"/>
      <c r="AA283" s="1023"/>
      <c r="AB283" s="1023"/>
      <c r="AC283" s="1023"/>
      <c r="AD283" s="1024"/>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486">
        <f>IF($C$278="yes",10,0)</f>
        <v>10</v>
      </c>
      <c r="AL285" s="2486"/>
      <c r="AM285" s="2487"/>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1379</v>
      </c>
      <c r="B288" s="538" t="s">
        <v>1853</v>
      </c>
      <c r="AH288" s="591" t="s">
        <v>1313</v>
      </c>
    </row>
    <row r="289" spans="1:49" ht="15" customHeight="1">
      <c r="B289" s="539"/>
    </row>
    <row r="290" spans="1:49" ht="15" customHeight="1">
      <c r="B290" s="539" t="s">
        <v>1727</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17" t="s">
        <v>1381</v>
      </c>
      <c r="B292" s="1617"/>
      <c r="C292" s="2474" t="s">
        <v>591</v>
      </c>
      <c r="D292" s="2478"/>
      <c r="E292" s="547"/>
      <c r="F292" s="2506" t="s">
        <v>1382</v>
      </c>
      <c r="G292" s="2507"/>
      <c r="H292" s="2507"/>
      <c r="I292" s="2507"/>
      <c r="J292" s="2507"/>
      <c r="K292" s="2507"/>
      <c r="L292" s="2507"/>
      <c r="M292" s="2507"/>
      <c r="N292" s="2507"/>
      <c r="O292" s="2507"/>
      <c r="P292" s="2507"/>
      <c r="Q292" s="2507"/>
      <c r="R292" s="2507"/>
      <c r="S292" s="2507"/>
      <c r="T292" s="2507"/>
      <c r="U292" s="2507"/>
      <c r="V292" s="2507"/>
      <c r="W292" s="2507"/>
      <c r="X292" s="2507"/>
      <c r="Y292" s="2507"/>
      <c r="Z292" s="2507"/>
      <c r="AA292" s="2507"/>
      <c r="AB292" s="2507"/>
      <c r="AC292" s="2507"/>
      <c r="AD292" s="2508"/>
      <c r="AE292" s="642"/>
      <c r="AF292" s="550"/>
      <c r="AG292" s="2509" t="s">
        <v>2017</v>
      </c>
      <c r="AH292" s="2509"/>
      <c r="AI292" s="2509"/>
      <c r="AJ292" s="2509"/>
      <c r="AK292" s="2509"/>
      <c r="AL292" s="550"/>
      <c r="AM292" s="550"/>
      <c r="AN292" s="73"/>
      <c r="AO292" s="14"/>
      <c r="AP292" s="30"/>
      <c r="AS292" s="570"/>
      <c r="AT292" s="570"/>
      <c r="AU292" s="570"/>
      <c r="AV292" s="32"/>
      <c r="AW292" s="32"/>
    </row>
    <row r="293" spans="1:49">
      <c r="A293" s="640"/>
      <c r="B293" s="596"/>
      <c r="F293" s="2500"/>
      <c r="G293" s="2501"/>
      <c r="H293" s="2501"/>
      <c r="I293" s="2501"/>
      <c r="J293" s="2501"/>
      <c r="K293" s="2501"/>
      <c r="L293" s="2501"/>
      <c r="M293" s="2501"/>
      <c r="N293" s="2501"/>
      <c r="O293" s="2501"/>
      <c r="P293" s="2501"/>
      <c r="Q293" s="2501"/>
      <c r="R293" s="2501"/>
      <c r="S293" s="2501"/>
      <c r="T293" s="2501"/>
      <c r="U293" s="2501"/>
      <c r="V293" s="2501"/>
      <c r="W293" s="2501"/>
      <c r="X293" s="2501"/>
      <c r="Y293" s="2501"/>
      <c r="Z293" s="2501"/>
      <c r="AA293" s="2501"/>
      <c r="AB293" s="2501"/>
      <c r="AC293" s="2501"/>
      <c r="AD293" s="2502"/>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500"/>
      <c r="G294" s="2501"/>
      <c r="H294" s="2501"/>
      <c r="I294" s="2501"/>
      <c r="J294" s="2501"/>
      <c r="K294" s="2501"/>
      <c r="L294" s="2501"/>
      <c r="M294" s="2501"/>
      <c r="N294" s="2501"/>
      <c r="O294" s="2501"/>
      <c r="P294" s="2501"/>
      <c r="Q294" s="2501"/>
      <c r="R294" s="2501"/>
      <c r="S294" s="2501"/>
      <c r="T294" s="2501"/>
      <c r="U294" s="2501"/>
      <c r="V294" s="2501"/>
      <c r="W294" s="2501"/>
      <c r="X294" s="2501"/>
      <c r="Y294" s="2501"/>
      <c r="Z294" s="2501"/>
      <c r="AA294" s="2501"/>
      <c r="AB294" s="2501"/>
      <c r="AC294" s="2501"/>
      <c r="AD294" s="2502"/>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500" t="s">
        <v>2025</v>
      </c>
      <c r="G295" s="2501"/>
      <c r="H295" s="2501"/>
      <c r="I295" s="2501"/>
      <c r="J295" s="2501"/>
      <c r="K295" s="2501"/>
      <c r="L295" s="2501"/>
      <c r="M295" s="2501"/>
      <c r="N295" s="2501"/>
      <c r="O295" s="2501"/>
      <c r="P295" s="2501"/>
      <c r="Q295" s="2501"/>
      <c r="R295" s="2501"/>
      <c r="S295" s="2501"/>
      <c r="T295" s="2501"/>
      <c r="U295" s="2501"/>
      <c r="V295" s="2501"/>
      <c r="W295" s="2501"/>
      <c r="X295" s="2501"/>
      <c r="Y295" s="2501"/>
      <c r="Z295" s="2501"/>
      <c r="AA295" s="2501"/>
      <c r="AB295" s="2501"/>
      <c r="AC295" s="2501"/>
      <c r="AD295" s="2502"/>
      <c r="AE295" s="642"/>
      <c r="AF295" s="551"/>
      <c r="AH295" s="551"/>
      <c r="AI295" s="551"/>
      <c r="AJ295" s="550"/>
      <c r="AK295" s="550"/>
      <c r="AL295" s="550"/>
      <c r="AM295" s="550"/>
      <c r="AN295" s="73"/>
      <c r="AO295" s="14"/>
      <c r="AP295" s="611">
        <f>MAX(AP293,AP294)</f>
        <v>9</v>
      </c>
      <c r="AQ295" s="574" t="s">
        <v>1315</v>
      </c>
      <c r="AS295" s="570"/>
      <c r="AT295" s="570"/>
      <c r="AU295" s="570"/>
      <c r="AV295" s="32"/>
      <c r="AW295" s="32"/>
    </row>
    <row r="296" spans="1:49">
      <c r="A296" s="640"/>
      <c r="B296" s="596"/>
      <c r="F296" s="2500"/>
      <c r="G296" s="2501"/>
      <c r="H296" s="2501"/>
      <c r="I296" s="2501"/>
      <c r="J296" s="2501"/>
      <c r="K296" s="2501"/>
      <c r="L296" s="2501"/>
      <c r="M296" s="2501"/>
      <c r="N296" s="2501"/>
      <c r="O296" s="2501"/>
      <c r="P296" s="2501"/>
      <c r="Q296" s="2501"/>
      <c r="R296" s="2501"/>
      <c r="S296" s="2501"/>
      <c r="T296" s="2501"/>
      <c r="U296" s="2501"/>
      <c r="V296" s="2501"/>
      <c r="W296" s="2501"/>
      <c r="X296" s="2501"/>
      <c r="Y296" s="2501"/>
      <c r="Z296" s="2501"/>
      <c r="AA296" s="2501"/>
      <c r="AB296" s="2501"/>
      <c r="AC296" s="2501"/>
      <c r="AD296" s="2502"/>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0" t="s">
        <v>1383</v>
      </c>
      <c r="G297" s="2501"/>
      <c r="H297" s="2501"/>
      <c r="I297" s="2501"/>
      <c r="J297" s="2501"/>
      <c r="K297" s="2501"/>
      <c r="L297" s="2501"/>
      <c r="M297" s="2501"/>
      <c r="N297" s="2501"/>
      <c r="O297" s="2501"/>
      <c r="P297" s="2501"/>
      <c r="Q297" s="2501"/>
      <c r="R297" s="2501"/>
      <c r="S297" s="2501"/>
      <c r="T297" s="2501"/>
      <c r="U297" s="2501"/>
      <c r="V297" s="2501"/>
      <c r="W297" s="2501"/>
      <c r="X297" s="2501"/>
      <c r="Y297" s="2501"/>
      <c r="Z297" s="2501"/>
      <c r="AA297" s="2501"/>
      <c r="AB297" s="2501"/>
      <c r="AC297" s="2501"/>
      <c r="AD297" s="2502"/>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0"/>
      <c r="G298" s="2501"/>
      <c r="H298" s="2501"/>
      <c r="I298" s="2501"/>
      <c r="J298" s="2501"/>
      <c r="K298" s="2501"/>
      <c r="L298" s="2501"/>
      <c r="M298" s="2501"/>
      <c r="N298" s="2501"/>
      <c r="O298" s="2501"/>
      <c r="P298" s="2501"/>
      <c r="Q298" s="2501"/>
      <c r="R298" s="2501"/>
      <c r="S298" s="2501"/>
      <c r="T298" s="2501"/>
      <c r="U298" s="2501"/>
      <c r="V298" s="2501"/>
      <c r="W298" s="2501"/>
      <c r="X298" s="2501"/>
      <c r="Y298" s="2501"/>
      <c r="Z298" s="2501"/>
      <c r="AA298" s="2501"/>
      <c r="AB298" s="2501"/>
      <c r="AC298" s="2501"/>
      <c r="AD298" s="2502"/>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0" t="s">
        <v>1384</v>
      </c>
      <c r="G299" s="2501"/>
      <c r="H299" s="2501"/>
      <c r="I299" s="2501"/>
      <c r="J299" s="2501"/>
      <c r="K299" s="2501"/>
      <c r="L299" s="2501"/>
      <c r="M299" s="2501"/>
      <c r="N299" s="2501"/>
      <c r="O299" s="2501"/>
      <c r="P299" s="2501"/>
      <c r="Q299" s="2501"/>
      <c r="R299" s="2501"/>
      <c r="S299" s="2501"/>
      <c r="T299" s="2501"/>
      <c r="U299" s="2501"/>
      <c r="V299" s="2501"/>
      <c r="W299" s="2501"/>
      <c r="X299" s="2501"/>
      <c r="Y299" s="2501"/>
      <c r="Z299" s="2501"/>
      <c r="AA299" s="2501"/>
      <c r="AB299" s="2501"/>
      <c r="AC299" s="2501"/>
      <c r="AD299" s="2502"/>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3"/>
      <c r="G300" s="2504"/>
      <c r="H300" s="2504"/>
      <c r="I300" s="2504"/>
      <c r="J300" s="2504"/>
      <c r="K300" s="2504"/>
      <c r="L300" s="2504"/>
      <c r="M300" s="2504"/>
      <c r="N300" s="2504"/>
      <c r="O300" s="2504"/>
      <c r="P300" s="2504"/>
      <c r="Q300" s="2504"/>
      <c r="R300" s="2504"/>
      <c r="S300" s="2504"/>
      <c r="T300" s="2504"/>
      <c r="U300" s="2504"/>
      <c r="V300" s="2504"/>
      <c r="W300" s="2504"/>
      <c r="X300" s="2504"/>
      <c r="Y300" s="2504"/>
      <c r="Z300" s="2504"/>
      <c r="AA300" s="2504"/>
      <c r="AB300" s="2504"/>
      <c r="AC300" s="2504"/>
      <c r="AD300" s="2505"/>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17" t="s">
        <v>1385</v>
      </c>
      <c r="B302" s="1617"/>
      <c r="C302" s="2478" t="s">
        <v>545</v>
      </c>
      <c r="D302" s="2478"/>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408" t="s">
        <v>2019</v>
      </c>
      <c r="G303" s="2409"/>
      <c r="H303" s="2409"/>
      <c r="I303" s="2409"/>
      <c r="J303" s="2409"/>
      <c r="K303" s="2409"/>
      <c r="L303" s="2409"/>
      <c r="M303" s="2409"/>
      <c r="N303" s="2409"/>
      <c r="O303" s="2409"/>
      <c r="P303" s="2409"/>
      <c r="Q303" s="2409"/>
      <c r="R303" s="2409"/>
      <c r="S303" s="2409"/>
      <c r="T303" s="2409"/>
      <c r="U303" s="2409"/>
      <c r="V303" s="2409"/>
      <c r="W303" s="2409"/>
      <c r="X303" s="2409"/>
      <c r="Y303" s="2409"/>
      <c r="Z303" s="2409"/>
      <c r="AA303" s="2409"/>
      <c r="AB303" s="2409"/>
      <c r="AC303" s="2409"/>
      <c r="AD303" s="2410"/>
      <c r="AE303" s="551"/>
      <c r="AF303" s="551"/>
      <c r="AG303" s="551"/>
      <c r="AH303" s="551"/>
      <c r="AI303" s="551"/>
      <c r="AJ303" s="550"/>
      <c r="AK303" s="550"/>
      <c r="AL303" s="550"/>
      <c r="AM303" s="550"/>
      <c r="AR303" s="648"/>
    </row>
    <row r="304" spans="1:49" ht="15" customHeight="1">
      <c r="A304" s="550"/>
      <c r="B304" s="551"/>
      <c r="C304" s="550"/>
      <c r="D304" s="551"/>
      <c r="E304" s="550"/>
      <c r="F304" s="2408"/>
      <c r="G304" s="2409"/>
      <c r="H304" s="2409"/>
      <c r="I304" s="2409"/>
      <c r="J304" s="2409"/>
      <c r="K304" s="2409"/>
      <c r="L304" s="2409"/>
      <c r="M304" s="2409"/>
      <c r="N304" s="2409"/>
      <c r="O304" s="2409"/>
      <c r="P304" s="2409"/>
      <c r="Q304" s="2409"/>
      <c r="R304" s="2409"/>
      <c r="S304" s="2409"/>
      <c r="T304" s="2409"/>
      <c r="U304" s="2409"/>
      <c r="V304" s="2409"/>
      <c r="W304" s="2409"/>
      <c r="X304" s="2409"/>
      <c r="Y304" s="2409"/>
      <c r="Z304" s="2409"/>
      <c r="AA304" s="2409"/>
      <c r="AB304" s="2409"/>
      <c r="AC304" s="2409"/>
      <c r="AD304" s="2410"/>
      <c r="AE304" s="551"/>
      <c r="AF304" s="551"/>
      <c r="AG304" s="551"/>
      <c r="AH304" s="551"/>
      <c r="AI304" s="551"/>
      <c r="AJ304" s="550"/>
      <c r="AK304" s="550"/>
      <c r="AL304" s="550"/>
      <c r="AM304" s="550"/>
      <c r="AR304" s="648"/>
    </row>
    <row r="305" spans="1:44">
      <c r="A305" s="550"/>
      <c r="B305" s="551"/>
      <c r="C305" s="550"/>
      <c r="D305" s="551"/>
      <c r="E305" s="550"/>
      <c r="F305" s="2408"/>
      <c r="G305" s="2409"/>
      <c r="H305" s="2409"/>
      <c r="I305" s="2409"/>
      <c r="J305" s="2409"/>
      <c r="K305" s="2409"/>
      <c r="L305" s="2409"/>
      <c r="M305" s="2409"/>
      <c r="N305" s="2409"/>
      <c r="O305" s="2409"/>
      <c r="P305" s="2409"/>
      <c r="Q305" s="2409"/>
      <c r="R305" s="2409"/>
      <c r="S305" s="2409"/>
      <c r="T305" s="2409"/>
      <c r="U305" s="2409"/>
      <c r="V305" s="2409"/>
      <c r="W305" s="2409"/>
      <c r="X305" s="2409"/>
      <c r="Y305" s="2409"/>
      <c r="Z305" s="2409"/>
      <c r="AA305" s="2409"/>
      <c r="AB305" s="2409"/>
      <c r="AC305" s="2409"/>
      <c r="AD305" s="2410"/>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5"/>
      <c r="G306" s="2406"/>
      <c r="H306" s="2406"/>
      <c r="I306" s="2406"/>
      <c r="J306" s="2406"/>
      <c r="K306" s="2406"/>
      <c r="L306" s="2406"/>
      <c r="M306" s="2406"/>
      <c r="N306" s="2406"/>
      <c r="O306" s="2406"/>
      <c r="P306" s="2406"/>
      <c r="Q306" s="2406"/>
      <c r="R306" s="2406"/>
      <c r="S306" s="2406"/>
      <c r="T306" s="2406"/>
      <c r="U306" s="2406"/>
      <c r="V306" s="2406"/>
      <c r="W306" s="2406"/>
      <c r="X306" s="2406"/>
      <c r="Y306" s="2406"/>
      <c r="Z306" s="2406"/>
      <c r="AA306" s="2406"/>
      <c r="AB306" s="2406"/>
      <c r="AC306" s="2406"/>
      <c r="AD306" s="2407"/>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17" t="s">
        <v>1388</v>
      </c>
      <c r="B310" s="1617"/>
      <c r="C310" s="2478" t="s">
        <v>591</v>
      </c>
      <c r="D310" s="2478"/>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idden="1">
      <c r="A311" s="89"/>
      <c r="B311" s="89"/>
      <c r="C311" s="730"/>
      <c r="D311" s="730"/>
      <c r="E311" s="547"/>
      <c r="F311" s="2500" t="s">
        <v>2026</v>
      </c>
      <c r="G311" s="2501"/>
      <c r="H311" s="2501"/>
      <c r="I311" s="2501"/>
      <c r="J311" s="2501"/>
      <c r="K311" s="2501"/>
      <c r="L311" s="2501"/>
      <c r="M311" s="2501"/>
      <c r="N311" s="2501"/>
      <c r="O311" s="2501"/>
      <c r="P311" s="2501"/>
      <c r="Q311" s="2501"/>
      <c r="R311" s="2501"/>
      <c r="S311" s="2501"/>
      <c r="T311" s="2501"/>
      <c r="U311" s="2501"/>
      <c r="V311" s="2501"/>
      <c r="W311" s="2501"/>
      <c r="X311" s="2501"/>
      <c r="Y311" s="2501"/>
      <c r="Z311" s="2501"/>
      <c r="AA311" s="2501"/>
      <c r="AB311" s="2501"/>
      <c r="AC311" s="2501"/>
      <c r="AD311" s="2502"/>
      <c r="AE311" s="551"/>
      <c r="AF311" s="551"/>
      <c r="AG311" s="539"/>
      <c r="AH311" s="551"/>
      <c r="AI311" s="551"/>
      <c r="AJ311" s="550"/>
      <c r="AK311" s="550"/>
      <c r="AL311" s="550"/>
      <c r="AM311" s="550"/>
      <c r="AN311" s="73"/>
      <c r="AO311" s="14"/>
      <c r="AP311" s="557" t="s">
        <v>1183</v>
      </c>
    </row>
    <row r="312" spans="1:44" hidden="1">
      <c r="F312" s="2500"/>
      <c r="G312" s="2501"/>
      <c r="H312" s="2501"/>
      <c r="I312" s="2501"/>
      <c r="J312" s="2501"/>
      <c r="K312" s="2501"/>
      <c r="L312" s="2501"/>
      <c r="M312" s="2501"/>
      <c r="N312" s="2501"/>
      <c r="O312" s="2501"/>
      <c r="P312" s="2501"/>
      <c r="Q312" s="2501"/>
      <c r="R312" s="2501"/>
      <c r="S312" s="2501"/>
      <c r="T312" s="2501"/>
      <c r="U312" s="2501"/>
      <c r="V312" s="2501"/>
      <c r="W312" s="2501"/>
      <c r="X312" s="2501"/>
      <c r="Y312" s="2501"/>
      <c r="Z312" s="2501"/>
      <c r="AA312" s="2501"/>
      <c r="AB312" s="2501"/>
      <c r="AC312" s="2501"/>
      <c r="AD312" s="2502"/>
      <c r="AE312" s="551"/>
      <c r="AF312" s="551"/>
      <c r="AH312" s="551"/>
      <c r="AI312" s="551"/>
      <c r="AJ312" s="550"/>
      <c r="AK312" s="550"/>
      <c r="AL312" s="550"/>
      <c r="AM312" s="550"/>
      <c r="AN312" s="73"/>
      <c r="AO312" s="14"/>
      <c r="AP312" s="557" t="s">
        <v>1729</v>
      </c>
    </row>
    <row r="313" spans="1:44"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19"/>
      <c r="AE313" s="551"/>
      <c r="AF313" s="551"/>
      <c r="AG313" s="539"/>
      <c r="AH313" s="551"/>
      <c r="AI313" s="551"/>
      <c r="AJ313" s="550"/>
      <c r="AK313" s="550"/>
      <c r="AL313" s="550"/>
      <c r="AM313" s="550"/>
      <c r="AN313" s="73"/>
      <c r="AO313" s="14"/>
      <c r="AP313" s="557" t="s">
        <v>1731</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19"/>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0" t="s">
        <v>1183</v>
      </c>
      <c r="G316" s="2511"/>
      <c r="H316" s="2511"/>
      <c r="I316" s="2511"/>
      <c r="J316" s="2511"/>
      <c r="K316" s="2511"/>
      <c r="L316" s="2511"/>
      <c r="M316" s="2511"/>
      <c r="N316" s="2511"/>
      <c r="O316" s="2511"/>
      <c r="P316" s="2511"/>
      <c r="Q316" s="2511"/>
      <c r="R316" s="2511"/>
      <c r="S316" s="2511"/>
      <c r="T316" s="2511"/>
      <c r="U316" s="2511"/>
      <c r="V316" s="2511"/>
      <c r="W316" s="2511"/>
      <c r="X316" s="2511"/>
      <c r="Y316" s="2511"/>
      <c r="Z316" s="2511"/>
      <c r="AA316" s="2511"/>
      <c r="AB316" s="2511"/>
      <c r="AC316" s="2511"/>
      <c r="AD316" s="2512"/>
      <c r="AE316" s="642"/>
      <c r="AF316" s="642"/>
      <c r="AG316" s="642"/>
      <c r="AH316" s="642"/>
      <c r="AI316" s="642"/>
      <c r="AJ316" s="642"/>
      <c r="AK316" s="642"/>
      <c r="AL316" s="550"/>
      <c r="AM316" s="550"/>
      <c r="AN316" s="73"/>
      <c r="AO316" s="14"/>
      <c r="AP316" s="30"/>
    </row>
    <row r="317" spans="1:44" hidden="1">
      <c r="A317" s="550"/>
      <c r="B317" s="551"/>
      <c r="C317" s="730"/>
      <c r="D317" s="730"/>
      <c r="E317" s="547"/>
      <c r="F317" s="2510"/>
      <c r="G317" s="2511"/>
      <c r="H317" s="2511"/>
      <c r="I317" s="2511"/>
      <c r="J317" s="2511"/>
      <c r="K317" s="2511"/>
      <c r="L317" s="2511"/>
      <c r="M317" s="2511"/>
      <c r="N317" s="2511"/>
      <c r="O317" s="2511"/>
      <c r="P317" s="2511"/>
      <c r="Q317" s="2511"/>
      <c r="R317" s="2511"/>
      <c r="S317" s="2511"/>
      <c r="T317" s="2511"/>
      <c r="U317" s="2511"/>
      <c r="V317" s="2511"/>
      <c r="W317" s="2511"/>
      <c r="X317" s="2511"/>
      <c r="Y317" s="2511"/>
      <c r="Z317" s="2511"/>
      <c r="AA317" s="2511"/>
      <c r="AB317" s="2511"/>
      <c r="AC317" s="2511"/>
      <c r="AD317" s="2512"/>
      <c r="AE317" s="551"/>
      <c r="AF317" s="551"/>
      <c r="AG317" s="539"/>
      <c r="AH317" s="551"/>
      <c r="AI317" s="551"/>
      <c r="AJ317" s="550"/>
      <c r="AK317" s="550"/>
      <c r="AL317" s="550"/>
      <c r="AM317" s="550"/>
      <c r="AN317" s="73"/>
      <c r="AO317" s="14"/>
      <c r="AP317" s="30"/>
    </row>
    <row r="318" spans="1:44" hidden="1">
      <c r="A318" s="550"/>
      <c r="B318" s="551"/>
      <c r="C318" s="730"/>
      <c r="D318" s="730"/>
      <c r="E318" s="547"/>
      <c r="F318" s="2510"/>
      <c r="G318" s="2511"/>
      <c r="H318" s="2511"/>
      <c r="I318" s="2511"/>
      <c r="J318" s="2511"/>
      <c r="K318" s="2511"/>
      <c r="L318" s="2511"/>
      <c r="M318" s="2511"/>
      <c r="N318" s="2511"/>
      <c r="O318" s="2511"/>
      <c r="P318" s="2511"/>
      <c r="Q318" s="2511"/>
      <c r="R318" s="2511"/>
      <c r="S318" s="2511"/>
      <c r="T318" s="2511"/>
      <c r="U318" s="2511"/>
      <c r="V318" s="2511"/>
      <c r="W318" s="2511"/>
      <c r="X318" s="2511"/>
      <c r="Y318" s="2511"/>
      <c r="Z318" s="2511"/>
      <c r="AA318" s="2511"/>
      <c r="AB318" s="2511"/>
      <c r="AC318" s="2511"/>
      <c r="AD318" s="2512"/>
      <c r="AE318" s="551"/>
      <c r="AF318" s="551"/>
      <c r="AG318" s="539"/>
      <c r="AH318" s="551"/>
      <c r="AI318" s="551"/>
      <c r="AJ318" s="550"/>
      <c r="AK318" s="550"/>
      <c r="AL318" s="550"/>
      <c r="AM318" s="550"/>
      <c r="AN318" s="73"/>
      <c r="AO318" s="14"/>
      <c r="AP318" s="30"/>
    </row>
    <row r="319" spans="1:44" hidden="1">
      <c r="A319" s="550"/>
      <c r="B319" s="551"/>
      <c r="C319" s="730"/>
      <c r="D319" s="730"/>
      <c r="E319" s="547"/>
      <c r="F319" s="2510"/>
      <c r="G319" s="2511"/>
      <c r="H319" s="2511"/>
      <c r="I319" s="2511"/>
      <c r="J319" s="2511"/>
      <c r="K319" s="2511"/>
      <c r="L319" s="2511"/>
      <c r="M319" s="2511"/>
      <c r="N319" s="2511"/>
      <c r="O319" s="2511"/>
      <c r="P319" s="2511"/>
      <c r="Q319" s="2511"/>
      <c r="R319" s="2511"/>
      <c r="S319" s="2511"/>
      <c r="T319" s="2511"/>
      <c r="U319" s="2511"/>
      <c r="V319" s="2511"/>
      <c r="W319" s="2511"/>
      <c r="X319" s="2511"/>
      <c r="Y319" s="2511"/>
      <c r="Z319" s="2511"/>
      <c r="AA319" s="2511"/>
      <c r="AB319" s="2511"/>
      <c r="AC319" s="2511"/>
      <c r="AD319" s="2512"/>
      <c r="AE319" s="551"/>
      <c r="AF319" s="551"/>
      <c r="AG319" s="539"/>
      <c r="AH319" s="551"/>
      <c r="AI319" s="551"/>
      <c r="AJ319" s="550"/>
      <c r="AK319" s="550"/>
      <c r="AL319" s="550"/>
      <c r="AM319" s="550"/>
      <c r="AN319" s="73"/>
      <c r="AO319" s="14"/>
      <c r="AP319" s="30"/>
    </row>
    <row r="320" spans="1:44" hidden="1">
      <c r="A320" s="550"/>
      <c r="B320" s="551"/>
      <c r="C320" s="730"/>
      <c r="D320" s="730"/>
      <c r="E320" s="547"/>
      <c r="F320" s="2513"/>
      <c r="G320" s="2514"/>
      <c r="H320" s="2514"/>
      <c r="I320" s="2514"/>
      <c r="J320" s="2514"/>
      <c r="K320" s="2514"/>
      <c r="L320" s="2514"/>
      <c r="M320" s="2514"/>
      <c r="N320" s="2514"/>
      <c r="O320" s="2514"/>
      <c r="P320" s="2514"/>
      <c r="Q320" s="2514"/>
      <c r="R320" s="2514"/>
      <c r="S320" s="2514"/>
      <c r="T320" s="2514"/>
      <c r="U320" s="2514"/>
      <c r="V320" s="2514"/>
      <c r="W320" s="2514"/>
      <c r="X320" s="2514"/>
      <c r="Y320" s="2514"/>
      <c r="Z320" s="2514"/>
      <c r="AA320" s="2514"/>
      <c r="AB320" s="2514"/>
      <c r="AC320" s="2514"/>
      <c r="AD320" s="2515"/>
      <c r="AE320" s="551"/>
      <c r="AF320" s="551"/>
      <c r="AG320" s="539"/>
      <c r="AH320" s="551"/>
      <c r="AI320" s="551"/>
      <c r="AJ320" s="550"/>
      <c r="AK320" s="550"/>
      <c r="AL320" s="550"/>
      <c r="AM320" s="550"/>
      <c r="AN320" s="73"/>
      <c r="AO320" s="14"/>
      <c r="AP320" s="30"/>
    </row>
    <row r="321" spans="1:42" hidden="1">
      <c r="A321" s="550"/>
      <c r="B321" s="551"/>
      <c r="C321" s="730"/>
      <c r="D321" s="730"/>
      <c r="E321" s="547"/>
      <c r="F321" s="974"/>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687</v>
      </c>
      <c r="H324" s="575"/>
      <c r="I324" s="2516" t="s">
        <v>1183</v>
      </c>
      <c r="J324" s="2516"/>
      <c r="K324" s="2516"/>
      <c r="L324" s="2516"/>
      <c r="M324" s="2516"/>
      <c r="N324" s="2516"/>
      <c r="O324" s="2516"/>
      <c r="P324" s="2516"/>
      <c r="Q324" s="2516"/>
      <c r="R324" s="2516"/>
      <c r="S324" s="2516"/>
      <c r="T324" s="2516"/>
      <c r="U324" s="2516"/>
      <c r="V324" s="2516"/>
      <c r="W324" s="2516"/>
      <c r="X324" s="2516"/>
      <c r="Y324" s="2516"/>
      <c r="Z324" s="2516"/>
      <c r="AA324" s="2516"/>
      <c r="AB324" s="2516"/>
      <c r="AC324" s="2516"/>
      <c r="AD324" s="2517"/>
      <c r="AE324" s="551"/>
      <c r="AF324" s="551"/>
      <c r="AG324" s="539"/>
      <c r="AH324" s="551"/>
      <c r="AI324" s="551"/>
      <c r="AJ324" s="550"/>
      <c r="AK324" s="550"/>
      <c r="AL324" s="550"/>
      <c r="AM324" s="550"/>
      <c r="AN324" s="73"/>
      <c r="AO324" s="14"/>
      <c r="AP324" s="557" t="s">
        <v>1636</v>
      </c>
    </row>
    <row r="325" spans="1:42" hidden="1">
      <c r="A325" s="550"/>
      <c r="B325" s="551"/>
      <c r="C325" s="730"/>
      <c r="D325" s="730"/>
      <c r="E325" s="547"/>
      <c r="F325" s="656"/>
      <c r="G325" s="575"/>
      <c r="H325" s="575"/>
      <c r="I325" s="2516"/>
      <c r="J325" s="2516"/>
      <c r="K325" s="2516"/>
      <c r="L325" s="2516"/>
      <c r="M325" s="2516"/>
      <c r="N325" s="2516"/>
      <c r="O325" s="2516"/>
      <c r="P325" s="2516"/>
      <c r="Q325" s="2516"/>
      <c r="R325" s="2516"/>
      <c r="S325" s="2516"/>
      <c r="T325" s="2516"/>
      <c r="U325" s="2516"/>
      <c r="V325" s="2516"/>
      <c r="W325" s="2516"/>
      <c r="X325" s="2516"/>
      <c r="Y325" s="2516"/>
      <c r="Z325" s="2516"/>
      <c r="AA325" s="2516"/>
      <c r="AB325" s="2516"/>
      <c r="AC325" s="2516"/>
      <c r="AD325" s="2517"/>
      <c r="AE325" s="551"/>
      <c r="AF325" s="551"/>
      <c r="AG325" s="539"/>
      <c r="AH325" s="551"/>
      <c r="AI325" s="551"/>
      <c r="AJ325" s="550"/>
      <c r="AK325" s="550"/>
      <c r="AL325" s="550"/>
      <c r="AM325" s="550"/>
      <c r="AN325" s="73"/>
      <c r="AO325" s="14"/>
      <c r="AP325" s="557" t="s">
        <v>1732</v>
      </c>
    </row>
    <row r="326" spans="1:42" hidden="1">
      <c r="A326" s="550"/>
      <c r="B326" s="551"/>
      <c r="C326" s="651"/>
      <c r="D326" s="651"/>
      <c r="E326" s="547"/>
      <c r="F326" s="656"/>
      <c r="G326" s="575"/>
      <c r="H326" s="575"/>
      <c r="I326" s="2516"/>
      <c r="J326" s="2516"/>
      <c r="K326" s="2516"/>
      <c r="L326" s="2516"/>
      <c r="M326" s="2516"/>
      <c r="N326" s="2516"/>
      <c r="O326" s="2516"/>
      <c r="P326" s="2516"/>
      <c r="Q326" s="2516"/>
      <c r="R326" s="2516"/>
      <c r="S326" s="2516"/>
      <c r="T326" s="2516"/>
      <c r="U326" s="2516"/>
      <c r="V326" s="2516"/>
      <c r="W326" s="2516"/>
      <c r="X326" s="2516"/>
      <c r="Y326" s="2516"/>
      <c r="Z326" s="2516"/>
      <c r="AA326" s="2516"/>
      <c r="AB326" s="2516"/>
      <c r="AC326" s="2516"/>
      <c r="AD326" s="2517"/>
      <c r="AE326" s="551"/>
      <c r="AF326" s="551"/>
      <c r="AG326" s="539"/>
      <c r="AH326" s="551"/>
      <c r="AI326" s="551"/>
      <c r="AJ326" s="550"/>
      <c r="AK326" s="550"/>
      <c r="AL326" s="550"/>
      <c r="AM326" s="550"/>
      <c r="AN326" s="73"/>
      <c r="AO326" s="14"/>
      <c r="AP326" s="557" t="s">
        <v>1734</v>
      </c>
    </row>
    <row r="327" spans="1:42" hidden="1">
      <c r="A327" s="550"/>
      <c r="B327" s="551"/>
      <c r="C327" s="651"/>
      <c r="D327" s="651"/>
      <c r="E327" s="547"/>
      <c r="F327" s="654"/>
      <c r="G327" s="551"/>
      <c r="H327" s="551"/>
      <c r="I327" s="2518"/>
      <c r="J327" s="2518"/>
      <c r="K327" s="2518"/>
      <c r="L327" s="2518"/>
      <c r="M327" s="2518"/>
      <c r="N327" s="2518"/>
      <c r="O327" s="2518"/>
      <c r="P327" s="2518"/>
      <c r="Q327" s="2518"/>
      <c r="R327" s="2518"/>
      <c r="S327" s="2518"/>
      <c r="T327" s="2518"/>
      <c r="U327" s="2518"/>
      <c r="V327" s="2518"/>
      <c r="W327" s="2518"/>
      <c r="X327" s="2518"/>
      <c r="Y327" s="2518"/>
      <c r="Z327" s="2518"/>
      <c r="AA327" s="2518"/>
      <c r="AB327" s="2518"/>
      <c r="AC327" s="2518"/>
      <c r="AD327" s="2519"/>
      <c r="AE327" s="551"/>
      <c r="AF327" s="551"/>
      <c r="AG327" s="539"/>
      <c r="AH327" s="551"/>
      <c r="AI327" s="551"/>
      <c r="AJ327" s="550"/>
      <c r="AK327" s="550"/>
      <c r="AL327" s="550"/>
      <c r="AM327" s="550"/>
      <c r="AN327" s="73"/>
      <c r="AO327" s="14"/>
      <c r="AP327" s="557" t="s">
        <v>1733</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6" t="s">
        <v>1183</v>
      </c>
      <c r="J329" s="2516"/>
      <c r="K329" s="2516"/>
      <c r="L329" s="2516"/>
      <c r="M329" s="2516"/>
      <c r="N329" s="2516"/>
      <c r="O329" s="2516"/>
      <c r="P329" s="2516"/>
      <c r="Q329" s="2516"/>
      <c r="R329" s="2516"/>
      <c r="S329" s="2516"/>
      <c r="T329" s="2516"/>
      <c r="U329" s="2516"/>
      <c r="V329" s="2516"/>
      <c r="W329" s="2516"/>
      <c r="X329" s="2516"/>
      <c r="Y329" s="2516"/>
      <c r="Z329" s="2516"/>
      <c r="AA329" s="2516"/>
      <c r="AB329" s="2516"/>
      <c r="AC329" s="2516"/>
      <c r="AD329" s="2517"/>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6"/>
      <c r="J330" s="2516"/>
      <c r="K330" s="2516"/>
      <c r="L330" s="2516"/>
      <c r="M330" s="2516"/>
      <c r="N330" s="2516"/>
      <c r="O330" s="2516"/>
      <c r="P330" s="2516"/>
      <c r="Q330" s="2516"/>
      <c r="R330" s="2516"/>
      <c r="S330" s="2516"/>
      <c r="T330" s="2516"/>
      <c r="U330" s="2516"/>
      <c r="V330" s="2516"/>
      <c r="W330" s="2516"/>
      <c r="X330" s="2516"/>
      <c r="Y330" s="2516"/>
      <c r="Z330" s="2516"/>
      <c r="AA330" s="2516"/>
      <c r="AB330" s="2516"/>
      <c r="AC330" s="2516"/>
      <c r="AD330" s="2517"/>
      <c r="AE330" s="551"/>
      <c r="AF330" s="551"/>
      <c r="AG330" s="539"/>
      <c r="AH330" s="551"/>
      <c r="AI330" s="551"/>
      <c r="AJ330" s="550"/>
      <c r="AK330" s="550"/>
      <c r="AL330" s="550"/>
      <c r="AM330" s="550"/>
      <c r="AN330" s="73"/>
      <c r="AO330" s="14"/>
      <c r="AP330" s="557" t="s">
        <v>1183</v>
      </c>
    </row>
    <row r="331" spans="1:42" hidden="1">
      <c r="A331" s="550"/>
      <c r="B331" s="551"/>
      <c r="C331" s="651"/>
      <c r="D331" s="651"/>
      <c r="E331" s="547"/>
      <c r="F331" s="657"/>
      <c r="G331" s="658"/>
      <c r="H331" s="658"/>
      <c r="I331" s="2518"/>
      <c r="J331" s="2518"/>
      <c r="K331" s="2518"/>
      <c r="L331" s="2518"/>
      <c r="M331" s="2518"/>
      <c r="N331" s="2518"/>
      <c r="O331" s="2518"/>
      <c r="P331" s="2518"/>
      <c r="Q331" s="2518"/>
      <c r="R331" s="2518"/>
      <c r="S331" s="2518"/>
      <c r="T331" s="2518"/>
      <c r="U331" s="2518"/>
      <c r="V331" s="2518"/>
      <c r="W331" s="2518"/>
      <c r="X331" s="2518"/>
      <c r="Y331" s="2518"/>
      <c r="Z331" s="2518"/>
      <c r="AA331" s="2518"/>
      <c r="AB331" s="2518"/>
      <c r="AC331" s="2518"/>
      <c r="AD331" s="2519"/>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17" t="s">
        <v>1391</v>
      </c>
      <c r="B333" s="1617"/>
      <c r="C333" s="2478" t="s">
        <v>591</v>
      </c>
      <c r="D333" s="2478"/>
      <c r="E333" s="547"/>
      <c r="F333" s="2402" t="s">
        <v>2027</v>
      </c>
      <c r="G333" s="2403"/>
      <c r="H333" s="2403"/>
      <c r="I333" s="2403"/>
      <c r="J333" s="2403"/>
      <c r="K333" s="2403"/>
      <c r="L333" s="2403"/>
      <c r="M333" s="2403"/>
      <c r="N333" s="2403"/>
      <c r="O333" s="2403"/>
      <c r="P333" s="2403"/>
      <c r="Q333" s="2403"/>
      <c r="R333" s="2403"/>
      <c r="S333" s="2403"/>
      <c r="T333" s="2403"/>
      <c r="U333" s="2403"/>
      <c r="V333" s="2403"/>
      <c r="W333" s="2403"/>
      <c r="X333" s="2403"/>
      <c r="Y333" s="2403"/>
      <c r="Z333" s="2403"/>
      <c r="AA333" s="2403"/>
      <c r="AB333" s="2403"/>
      <c r="AC333" s="2403"/>
      <c r="AD333" s="2404"/>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408"/>
      <c r="G334" s="2409"/>
      <c r="H334" s="2409"/>
      <c r="I334" s="2409"/>
      <c r="J334" s="2409"/>
      <c r="K334" s="2409"/>
      <c r="L334" s="2409"/>
      <c r="M334" s="2409"/>
      <c r="N334" s="2409"/>
      <c r="O334" s="2409"/>
      <c r="P334" s="2409"/>
      <c r="Q334" s="2409"/>
      <c r="R334" s="2409"/>
      <c r="S334" s="2409"/>
      <c r="T334" s="2409"/>
      <c r="U334" s="2409"/>
      <c r="V334" s="2409"/>
      <c r="W334" s="2409"/>
      <c r="X334" s="2409"/>
      <c r="Y334" s="2409"/>
      <c r="Z334" s="2409"/>
      <c r="AA334" s="2409"/>
      <c r="AB334" s="2409"/>
      <c r="AC334" s="2409"/>
      <c r="AD334" s="2410"/>
      <c r="AE334" s="551"/>
      <c r="AF334" s="551"/>
      <c r="AG334" s="551"/>
      <c r="AH334" s="551"/>
      <c r="AI334" s="551"/>
      <c r="AJ334" s="550"/>
      <c r="AK334" s="550"/>
      <c r="AL334" s="550"/>
      <c r="AM334" s="550"/>
      <c r="AN334" s="73"/>
      <c r="AO334" s="14"/>
    </row>
    <row r="335" spans="1:42" ht="15" hidden="1" customHeight="1">
      <c r="A335" s="550"/>
      <c r="B335" s="551"/>
      <c r="C335" s="551"/>
      <c r="D335" s="551"/>
      <c r="E335" s="551"/>
      <c r="F335" s="2408"/>
      <c r="G335" s="2409"/>
      <c r="H335" s="2409"/>
      <c r="I335" s="2409"/>
      <c r="J335" s="2409"/>
      <c r="K335" s="2409"/>
      <c r="L335" s="2409"/>
      <c r="M335" s="2409"/>
      <c r="N335" s="2409"/>
      <c r="O335" s="2409"/>
      <c r="P335" s="2409"/>
      <c r="Q335" s="2409"/>
      <c r="R335" s="2409"/>
      <c r="S335" s="2409"/>
      <c r="T335" s="2409"/>
      <c r="U335" s="2409"/>
      <c r="V335" s="2409"/>
      <c r="W335" s="2409"/>
      <c r="X335" s="2409"/>
      <c r="Y335" s="2409"/>
      <c r="Z335" s="2409"/>
      <c r="AA335" s="2409"/>
      <c r="AB335" s="2409"/>
      <c r="AC335" s="2409"/>
      <c r="AD335" s="2410"/>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81">
        <f>IF(NOT(OR(Application!M355="Yes",Application!M356="Yes")),0,AP295)</f>
        <v>9</v>
      </c>
      <c r="AL338" s="2482"/>
      <c r="AM338" s="2483"/>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845</v>
      </c>
      <c r="C341" s="536"/>
      <c r="AC341" s="539"/>
      <c r="AE341" s="2411" t="s">
        <v>1313</v>
      </c>
      <c r="AF341" s="2411"/>
      <c r="AG341" s="2411"/>
      <c r="AH341" s="2411"/>
      <c r="AI341" s="2411"/>
      <c r="AJ341" s="2411"/>
      <c r="AK341" s="2411"/>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0" t="s">
        <v>1453</v>
      </c>
      <c r="D343" s="2520"/>
      <c r="E343" s="2520"/>
      <c r="F343" s="2520"/>
      <c r="G343" s="2520"/>
      <c r="H343" s="2520"/>
      <c r="I343" s="2520"/>
      <c r="J343" s="2520"/>
      <c r="K343" s="2520"/>
      <c r="L343" s="2520"/>
      <c r="M343" s="2520"/>
      <c r="N343" s="2520"/>
      <c r="O343" s="2520"/>
      <c r="P343" s="2520"/>
      <c r="Q343" s="2520"/>
      <c r="R343" s="2520"/>
      <c r="S343" s="2520"/>
      <c r="T343" s="2520"/>
      <c r="U343" s="2520"/>
      <c r="V343" s="2520"/>
      <c r="W343" s="2520"/>
      <c r="X343" s="2520"/>
      <c r="Y343" s="2520"/>
      <c r="Z343" s="2520"/>
      <c r="AA343" s="2520"/>
      <c r="AB343" s="2520"/>
      <c r="AC343" s="2520"/>
      <c r="AD343" s="2520"/>
      <c r="AE343" s="2520"/>
      <c r="AF343" s="2520"/>
      <c r="AG343" s="2520"/>
      <c r="AH343" s="2520"/>
      <c r="AI343" s="2520"/>
      <c r="AJ343" s="2520"/>
      <c r="AK343" s="603"/>
      <c r="AL343" s="603"/>
      <c r="AM343" s="603"/>
      <c r="AN343" s="597"/>
    </row>
    <row r="344" spans="1:44" s="550" customFormat="1" ht="12.75" customHeight="1">
      <c r="A344" s="603"/>
      <c r="B344" s="611"/>
      <c r="C344" s="2520"/>
      <c r="D344" s="2520"/>
      <c r="E344" s="2520"/>
      <c r="F344" s="2520"/>
      <c r="G344" s="2520"/>
      <c r="H344" s="2520"/>
      <c r="I344" s="2520"/>
      <c r="J344" s="2520"/>
      <c r="K344" s="2520"/>
      <c r="L344" s="2520"/>
      <c r="M344" s="2520"/>
      <c r="N344" s="2520"/>
      <c r="O344" s="2520"/>
      <c r="P344" s="2520"/>
      <c r="Q344" s="2520"/>
      <c r="R344" s="2520"/>
      <c r="S344" s="2520"/>
      <c r="T344" s="2520"/>
      <c r="U344" s="2520"/>
      <c r="V344" s="2520"/>
      <c r="W344" s="2520"/>
      <c r="X344" s="2520"/>
      <c r="Y344" s="2520"/>
      <c r="Z344" s="2520"/>
      <c r="AA344" s="2520"/>
      <c r="AB344" s="2520"/>
      <c r="AC344" s="2520"/>
      <c r="AD344" s="2520"/>
      <c r="AE344" s="2520"/>
      <c r="AF344" s="2520"/>
      <c r="AG344" s="2520"/>
      <c r="AH344" s="2520"/>
      <c r="AI344" s="2520"/>
      <c r="AJ344" s="2520"/>
      <c r="AK344" s="603"/>
      <c r="AL344" s="603"/>
      <c r="AM344" s="603"/>
      <c r="AN344" s="597"/>
    </row>
    <row r="345" spans="1:44" s="550" customFormat="1" ht="12.75" customHeight="1">
      <c r="A345" s="603"/>
      <c r="B345" s="611"/>
      <c r="C345" s="2520"/>
      <c r="D345" s="2520"/>
      <c r="E345" s="2520"/>
      <c r="F345" s="2520"/>
      <c r="G345" s="2520"/>
      <c r="H345" s="2520"/>
      <c r="I345" s="2520"/>
      <c r="J345" s="2520"/>
      <c r="K345" s="2520"/>
      <c r="L345" s="2520"/>
      <c r="M345" s="2520"/>
      <c r="N345" s="2520"/>
      <c r="O345" s="2520"/>
      <c r="P345" s="2520"/>
      <c r="Q345" s="2520"/>
      <c r="R345" s="2520"/>
      <c r="S345" s="2520"/>
      <c r="T345" s="2520"/>
      <c r="U345" s="2520"/>
      <c r="V345" s="2520"/>
      <c r="W345" s="2520"/>
      <c r="X345" s="2520"/>
      <c r="Y345" s="2520"/>
      <c r="Z345" s="2520"/>
      <c r="AA345" s="2520"/>
      <c r="AB345" s="2520"/>
      <c r="AC345" s="2520"/>
      <c r="AD345" s="2520"/>
      <c r="AE345" s="2520"/>
      <c r="AF345" s="2520"/>
      <c r="AG345" s="2520"/>
      <c r="AH345" s="2520"/>
      <c r="AI345" s="2520"/>
      <c r="AJ345" s="2520"/>
      <c r="AK345" s="603"/>
      <c r="AL345" s="603"/>
      <c r="AM345" s="603"/>
      <c r="AN345" s="597"/>
      <c r="AQ345" s="570"/>
    </row>
    <row r="346" spans="1:44" s="550" customFormat="1" ht="12.75" customHeight="1">
      <c r="A346" s="603"/>
      <c r="B346" s="611"/>
      <c r="C346" s="2520"/>
      <c r="D346" s="2520"/>
      <c r="E346" s="2520"/>
      <c r="F346" s="2520"/>
      <c r="G346" s="2520"/>
      <c r="H346" s="2520"/>
      <c r="I346" s="2520"/>
      <c r="J346" s="2520"/>
      <c r="K346" s="2520"/>
      <c r="L346" s="2520"/>
      <c r="M346" s="2520"/>
      <c r="N346" s="2520"/>
      <c r="O346" s="2520"/>
      <c r="P346" s="2520"/>
      <c r="Q346" s="2520"/>
      <c r="R346" s="2520"/>
      <c r="S346" s="2520"/>
      <c r="T346" s="2520"/>
      <c r="U346" s="2520"/>
      <c r="V346" s="2520"/>
      <c r="W346" s="2520"/>
      <c r="X346" s="2520"/>
      <c r="Y346" s="2520"/>
      <c r="Z346" s="2520"/>
      <c r="AA346" s="2520"/>
      <c r="AB346" s="2520"/>
      <c r="AC346" s="2520"/>
      <c r="AD346" s="2520"/>
      <c r="AE346" s="2520"/>
      <c r="AF346" s="2520"/>
      <c r="AG346" s="2520"/>
      <c r="AH346" s="2520"/>
      <c r="AI346" s="2520"/>
      <c r="AJ346" s="2520"/>
      <c r="AK346" s="603"/>
      <c r="AL346" s="603"/>
      <c r="AM346" s="603"/>
      <c r="AN346" s="597"/>
      <c r="AQ346" s="570"/>
    </row>
    <row r="347" spans="1:44" s="550" customFormat="1" ht="12.4" customHeight="1">
      <c r="A347" s="603"/>
      <c r="B347" s="611"/>
      <c r="C347" s="2520"/>
      <c r="D347" s="2520"/>
      <c r="E347" s="2520"/>
      <c r="F347" s="2520"/>
      <c r="G347" s="2520"/>
      <c r="H347" s="2520"/>
      <c r="I347" s="2520"/>
      <c r="J347" s="2520"/>
      <c r="K347" s="2520"/>
      <c r="L347" s="2520"/>
      <c r="M347" s="2520"/>
      <c r="N347" s="2520"/>
      <c r="O347" s="2520"/>
      <c r="P347" s="2520"/>
      <c r="Q347" s="2520"/>
      <c r="R347" s="2520"/>
      <c r="S347" s="2520"/>
      <c r="T347" s="2520"/>
      <c r="U347" s="2520"/>
      <c r="V347" s="2520"/>
      <c r="W347" s="2520"/>
      <c r="X347" s="2520"/>
      <c r="Y347" s="2520"/>
      <c r="Z347" s="2520"/>
      <c r="AA347" s="2520"/>
      <c r="AB347" s="2520"/>
      <c r="AC347" s="2520"/>
      <c r="AD347" s="2520"/>
      <c r="AE347" s="2520"/>
      <c r="AF347" s="2520"/>
      <c r="AG347" s="2520"/>
      <c r="AH347" s="2520"/>
      <c r="AI347" s="2520"/>
      <c r="AJ347" s="2520"/>
      <c r="AK347" s="603"/>
      <c r="AL347" s="603"/>
      <c r="AM347" s="603"/>
      <c r="AN347" s="597"/>
      <c r="AQ347" s="570"/>
      <c r="AR347" s="570"/>
    </row>
    <row r="348" spans="1:44" s="550" customFormat="1" ht="45.75" customHeight="1">
      <c r="A348" s="603"/>
      <c r="B348" s="611"/>
      <c r="C348" s="2520" t="s">
        <v>2092</v>
      </c>
      <c r="D348" s="2520"/>
      <c r="E348" s="2520"/>
      <c r="F348" s="2520"/>
      <c r="G348" s="2520"/>
      <c r="H348" s="2520"/>
      <c r="I348" s="2520"/>
      <c r="J348" s="2520"/>
      <c r="K348" s="2520"/>
      <c r="L348" s="2520"/>
      <c r="M348" s="2520"/>
      <c r="N348" s="2520"/>
      <c r="O348" s="2520"/>
      <c r="P348" s="2520"/>
      <c r="Q348" s="2520"/>
      <c r="R348" s="2520"/>
      <c r="S348" s="2520"/>
      <c r="T348" s="2520"/>
      <c r="U348" s="2520"/>
      <c r="V348" s="2520"/>
      <c r="W348" s="2520"/>
      <c r="X348" s="2520"/>
      <c r="Y348" s="2520"/>
      <c r="Z348" s="2520"/>
      <c r="AA348" s="2520"/>
      <c r="AB348" s="2520"/>
      <c r="AC348" s="2520"/>
      <c r="AD348" s="2520"/>
      <c r="AE348" s="2520"/>
      <c r="AF348" s="2520"/>
      <c r="AG348" s="2520"/>
      <c r="AH348" s="2520"/>
      <c r="AI348" s="2520"/>
      <c r="AJ348" s="2520"/>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0" t="s">
        <v>2207</v>
      </c>
      <c r="D350" s="2520"/>
      <c r="E350" s="2520"/>
      <c r="F350" s="2520"/>
      <c r="G350" s="2520"/>
      <c r="H350" s="2520"/>
      <c r="I350" s="2520"/>
      <c r="J350" s="2520"/>
      <c r="K350" s="2520"/>
      <c r="L350" s="2520"/>
      <c r="M350" s="2520"/>
      <c r="N350" s="2520"/>
      <c r="O350" s="2520"/>
      <c r="P350" s="2520"/>
      <c r="Q350" s="2520"/>
      <c r="R350" s="2520"/>
      <c r="S350" s="2520"/>
      <c r="T350" s="2520"/>
      <c r="U350" s="2520"/>
      <c r="V350" s="2520"/>
      <c r="W350" s="2520"/>
      <c r="X350" s="2520"/>
      <c r="Y350" s="2520"/>
      <c r="Z350" s="2520"/>
      <c r="AA350" s="2520"/>
      <c r="AB350" s="2520"/>
      <c r="AC350" s="2520"/>
      <c r="AD350" s="2520"/>
      <c r="AE350" s="2520"/>
      <c r="AF350" s="2520"/>
      <c r="AG350" s="2520"/>
      <c r="AH350" s="2520"/>
      <c r="AI350" s="2520"/>
      <c r="AJ350" s="2520"/>
      <c r="AK350" s="603"/>
      <c r="AL350" s="603"/>
      <c r="AM350" s="603"/>
      <c r="AN350" s="597"/>
      <c r="AQ350" s="570"/>
      <c r="AR350" s="570"/>
    </row>
    <row r="351" spans="1:44" s="550" customFormat="1" ht="30" customHeight="1">
      <c r="A351" s="603"/>
      <c r="B351" s="611"/>
      <c r="C351" s="2520"/>
      <c r="D351" s="2520"/>
      <c r="E351" s="2520"/>
      <c r="F351" s="2520"/>
      <c r="G351" s="2520"/>
      <c r="H351" s="2520"/>
      <c r="I351" s="2520"/>
      <c r="J351" s="2520"/>
      <c r="K351" s="2520"/>
      <c r="L351" s="2520"/>
      <c r="M351" s="2520"/>
      <c r="N351" s="2520"/>
      <c r="O351" s="2520"/>
      <c r="P351" s="2520"/>
      <c r="Q351" s="2520"/>
      <c r="R351" s="2520"/>
      <c r="S351" s="2520"/>
      <c r="T351" s="2520"/>
      <c r="U351" s="2520"/>
      <c r="V351" s="2520"/>
      <c r="W351" s="2520"/>
      <c r="X351" s="2520"/>
      <c r="Y351" s="2520"/>
      <c r="Z351" s="2520"/>
      <c r="AA351" s="2520"/>
      <c r="AB351" s="2520"/>
      <c r="AC351" s="2520"/>
      <c r="AD351" s="2520"/>
      <c r="AE351" s="2520"/>
      <c r="AF351" s="2520"/>
      <c r="AG351" s="2520"/>
      <c r="AH351" s="2520"/>
      <c r="AI351" s="2520"/>
      <c r="AJ351" s="2520"/>
      <c r="AK351" s="603"/>
      <c r="AL351" s="603"/>
      <c r="AM351" s="603"/>
      <c r="AN351" s="597"/>
      <c r="AR351" s="570"/>
    </row>
    <row r="352" spans="1:44" s="550" customFormat="1" ht="12.75" customHeight="1">
      <c r="A352" s="603"/>
      <c r="B352" s="611"/>
      <c r="C352" s="2520"/>
      <c r="D352" s="2520"/>
      <c r="E352" s="2520"/>
      <c r="F352" s="2520"/>
      <c r="G352" s="2520"/>
      <c r="H352" s="2520"/>
      <c r="I352" s="2520"/>
      <c r="J352" s="2520"/>
      <c r="K352" s="2520"/>
      <c r="L352" s="2520"/>
      <c r="M352" s="2520"/>
      <c r="N352" s="2520"/>
      <c r="O352" s="2520"/>
      <c r="P352" s="2520"/>
      <c r="Q352" s="2520"/>
      <c r="R352" s="2520"/>
      <c r="S352" s="2520"/>
      <c r="T352" s="2520"/>
      <c r="U352" s="2520"/>
      <c r="V352" s="2520"/>
      <c r="W352" s="2520"/>
      <c r="X352" s="2520"/>
      <c r="Y352" s="2520"/>
      <c r="Z352" s="2520"/>
      <c r="AA352" s="2520"/>
      <c r="AB352" s="2520"/>
      <c r="AC352" s="2520"/>
      <c r="AD352" s="2520"/>
      <c r="AE352" s="2520"/>
      <c r="AF352" s="2520"/>
      <c r="AG352" s="2520"/>
      <c r="AH352" s="2520"/>
      <c r="AI352" s="2520"/>
      <c r="AJ352" s="2520"/>
      <c r="AK352" s="603"/>
      <c r="AL352" s="603"/>
      <c r="AM352" s="603"/>
      <c r="AN352" s="597"/>
      <c r="AR352" s="570"/>
    </row>
    <row r="353" spans="1:46" s="550" customFormat="1" ht="12.75" customHeight="1">
      <c r="A353" s="603"/>
      <c r="B353" s="611"/>
      <c r="C353" s="2520" t="s">
        <v>1454</v>
      </c>
      <c r="D353" s="2520"/>
      <c r="E353" s="2520"/>
      <c r="F353" s="2520"/>
      <c r="G353" s="2520"/>
      <c r="H353" s="2520"/>
      <c r="I353" s="2520"/>
      <c r="J353" s="2520"/>
      <c r="K353" s="2520"/>
      <c r="L353" s="2520"/>
      <c r="M353" s="2520"/>
      <c r="N353" s="2520"/>
      <c r="O353" s="2520"/>
      <c r="P353" s="2520"/>
      <c r="Q353" s="2520"/>
      <c r="R353" s="2520"/>
      <c r="S353" s="2520"/>
      <c r="T353" s="2520"/>
      <c r="U353" s="2520"/>
      <c r="V353" s="2520"/>
      <c r="W353" s="2520"/>
      <c r="X353" s="2520"/>
      <c r="Y353" s="2520"/>
      <c r="Z353" s="2520"/>
      <c r="AA353" s="2520"/>
      <c r="AB353" s="2520"/>
      <c r="AC353" s="2520"/>
      <c r="AD353" s="2520"/>
      <c r="AE353" s="2520"/>
      <c r="AF353" s="2520"/>
      <c r="AG353" s="2520"/>
      <c r="AH353" s="2520"/>
      <c r="AI353" s="2520"/>
      <c r="AJ353" s="2520"/>
      <c r="AK353" s="603"/>
      <c r="AL353" s="603"/>
      <c r="AM353" s="603"/>
      <c r="AN353" s="597"/>
      <c r="AQ353" s="570"/>
      <c r="AR353" s="570"/>
    </row>
    <row r="354" spans="1:46" s="550" customFormat="1" ht="12.75" customHeight="1">
      <c r="A354" s="603"/>
      <c r="B354" s="611"/>
      <c r="C354" s="2520"/>
      <c r="D354" s="2520"/>
      <c r="E354" s="2520"/>
      <c r="F354" s="2520"/>
      <c r="G354" s="2520"/>
      <c r="H354" s="2520"/>
      <c r="I354" s="2520"/>
      <c r="J354" s="2520"/>
      <c r="K354" s="2520"/>
      <c r="L354" s="2520"/>
      <c r="M354" s="2520"/>
      <c r="N354" s="2520"/>
      <c r="O354" s="2520"/>
      <c r="P354" s="2520"/>
      <c r="Q354" s="2520"/>
      <c r="R354" s="2520"/>
      <c r="S354" s="2520"/>
      <c r="T354" s="2520"/>
      <c r="U354" s="2520"/>
      <c r="V354" s="2520"/>
      <c r="W354" s="2520"/>
      <c r="X354" s="2520"/>
      <c r="Y354" s="2520"/>
      <c r="Z354" s="2520"/>
      <c r="AA354" s="2520"/>
      <c r="AB354" s="2520"/>
      <c r="AC354" s="2520"/>
      <c r="AD354" s="2520"/>
      <c r="AE354" s="2520"/>
      <c r="AF354" s="2520"/>
      <c r="AG354" s="2520"/>
      <c r="AH354" s="2520"/>
      <c r="AI354" s="2520"/>
      <c r="AJ354" s="2520"/>
      <c r="AK354" s="603"/>
      <c r="AL354" s="603"/>
      <c r="AM354" s="603"/>
      <c r="AN354" s="597"/>
      <c r="AQ354" s="570"/>
      <c r="AR354" s="570"/>
    </row>
    <row r="355" spans="1:46" s="550" customFormat="1" ht="13.15" customHeight="1">
      <c r="A355" s="603"/>
      <c r="B355" s="611"/>
      <c r="C355" s="2520"/>
      <c r="D355" s="2520"/>
      <c r="E355" s="2520"/>
      <c r="F355" s="2520"/>
      <c r="G355" s="2520"/>
      <c r="H355" s="2520"/>
      <c r="I355" s="2520"/>
      <c r="J355" s="2520"/>
      <c r="K355" s="2520"/>
      <c r="L355" s="2520"/>
      <c r="M355" s="2520"/>
      <c r="N355" s="2520"/>
      <c r="O355" s="2520"/>
      <c r="P355" s="2520"/>
      <c r="Q355" s="2520"/>
      <c r="R355" s="2520"/>
      <c r="S355" s="2520"/>
      <c r="T355" s="2520"/>
      <c r="U355" s="2520"/>
      <c r="V355" s="2520"/>
      <c r="W355" s="2520"/>
      <c r="X355" s="2520"/>
      <c r="Y355" s="2520"/>
      <c r="Z355" s="2520"/>
      <c r="AA355" s="2520"/>
      <c r="AB355" s="2520"/>
      <c r="AC355" s="2520"/>
      <c r="AD355" s="2520"/>
      <c r="AE355" s="2520"/>
      <c r="AF355" s="2520"/>
      <c r="AG355" s="2520"/>
      <c r="AH355" s="2520"/>
      <c r="AI355" s="2520"/>
      <c r="AJ355" s="2520"/>
      <c r="AK355" s="603"/>
      <c r="AL355" s="603"/>
      <c r="AM355" s="603"/>
      <c r="AN355" s="597"/>
      <c r="AQ355" s="570"/>
      <c r="AR355" s="570"/>
    </row>
    <row r="356" spans="1:46" s="550" customFormat="1" ht="12.75" customHeight="1">
      <c r="A356" s="603"/>
      <c r="B356" s="611"/>
      <c r="C356" s="2520"/>
      <c r="D356" s="2520"/>
      <c r="E356" s="2520"/>
      <c r="F356" s="2520"/>
      <c r="G356" s="2520"/>
      <c r="H356" s="2520"/>
      <c r="I356" s="2520"/>
      <c r="J356" s="2520"/>
      <c r="K356" s="2520"/>
      <c r="L356" s="2520"/>
      <c r="M356" s="2520"/>
      <c r="N356" s="2520"/>
      <c r="O356" s="2520"/>
      <c r="P356" s="2520"/>
      <c r="Q356" s="2520"/>
      <c r="R356" s="2520"/>
      <c r="S356" s="2520"/>
      <c r="T356" s="2520"/>
      <c r="U356" s="2520"/>
      <c r="V356" s="2520"/>
      <c r="W356" s="2520"/>
      <c r="X356" s="2520"/>
      <c r="Y356" s="2520"/>
      <c r="Z356" s="2520"/>
      <c r="AA356" s="2520"/>
      <c r="AB356" s="2520"/>
      <c r="AC356" s="2520"/>
      <c r="AD356" s="2520"/>
      <c r="AE356" s="2520"/>
      <c r="AF356" s="2520"/>
      <c r="AG356" s="2520"/>
      <c r="AH356" s="2520"/>
      <c r="AI356" s="2520"/>
      <c r="AJ356" s="2520"/>
      <c r="AK356" s="603"/>
      <c r="AL356" s="603"/>
      <c r="AM356" s="603"/>
      <c r="AN356" s="597"/>
      <c r="AO356" s="694"/>
      <c r="AP356" s="694"/>
      <c r="AQ356" s="570"/>
    </row>
    <row r="357" spans="1:46" s="550" customFormat="1" ht="11.85" customHeight="1">
      <c r="A357" s="603"/>
      <c r="B357" s="611"/>
      <c r="C357" s="2520"/>
      <c r="D357" s="2520"/>
      <c r="E357" s="2520"/>
      <c r="F357" s="2520"/>
      <c r="G357" s="2520"/>
      <c r="H357" s="2520"/>
      <c r="I357" s="2520"/>
      <c r="J357" s="2520"/>
      <c r="K357" s="2520"/>
      <c r="L357" s="2520"/>
      <c r="M357" s="2520"/>
      <c r="N357" s="2520"/>
      <c r="O357" s="2520"/>
      <c r="P357" s="2520"/>
      <c r="Q357" s="2520"/>
      <c r="R357" s="2520"/>
      <c r="S357" s="2520"/>
      <c r="T357" s="2520"/>
      <c r="U357" s="2520"/>
      <c r="V357" s="2520"/>
      <c r="W357" s="2520"/>
      <c r="X357" s="2520"/>
      <c r="Y357" s="2520"/>
      <c r="Z357" s="2520"/>
      <c r="AA357" s="2520"/>
      <c r="AB357" s="2520"/>
      <c r="AC357" s="2520"/>
      <c r="AD357" s="2520"/>
      <c r="AE357" s="2520"/>
      <c r="AF357" s="2520"/>
      <c r="AG357" s="2520"/>
      <c r="AH357" s="2520"/>
      <c r="AI357" s="2520"/>
      <c r="AJ357" s="2520"/>
      <c r="AK357" s="603"/>
      <c r="AL357" s="603"/>
      <c r="AM357" s="603"/>
      <c r="AN357" s="597"/>
      <c r="AO357" s="695" t="s">
        <v>112</v>
      </c>
      <c r="AP357" s="696">
        <f>IF(C381="Yes",5,0)</f>
        <v>0</v>
      </c>
      <c r="AS357" s="539" t="s">
        <v>1455</v>
      </c>
    </row>
    <row r="358" spans="1:46" s="550" customFormat="1" ht="12.75" customHeight="1">
      <c r="A358" s="603"/>
      <c r="B358" s="611"/>
      <c r="C358" s="2520"/>
      <c r="D358" s="2520"/>
      <c r="E358" s="2520"/>
      <c r="F358" s="2520"/>
      <c r="G358" s="2520"/>
      <c r="H358" s="2520"/>
      <c r="I358" s="2520"/>
      <c r="J358" s="2520"/>
      <c r="K358" s="2520"/>
      <c r="L358" s="2520"/>
      <c r="M358" s="2520"/>
      <c r="N358" s="2520"/>
      <c r="O358" s="2520"/>
      <c r="P358" s="2520"/>
      <c r="Q358" s="2520"/>
      <c r="R358" s="2520"/>
      <c r="S358" s="2520"/>
      <c r="T358" s="2520"/>
      <c r="U358" s="2520"/>
      <c r="V358" s="2520"/>
      <c r="W358" s="2520"/>
      <c r="X358" s="2520"/>
      <c r="Y358" s="2520"/>
      <c r="Z358" s="2520"/>
      <c r="AA358" s="2520"/>
      <c r="AB358" s="2520"/>
      <c r="AC358" s="2520"/>
      <c r="AD358" s="2520"/>
      <c r="AE358" s="2520"/>
      <c r="AF358" s="2520"/>
      <c r="AG358" s="2520"/>
      <c r="AH358" s="2520"/>
      <c r="AI358" s="2520"/>
      <c r="AJ358" s="2520"/>
      <c r="AK358" s="603"/>
      <c r="AL358" s="603"/>
      <c r="AM358" s="603"/>
      <c r="AN358" s="597"/>
      <c r="AO358" s="695" t="s">
        <v>113</v>
      </c>
      <c r="AP358" s="696">
        <f>IF(C389="Yes",5,0)</f>
        <v>0</v>
      </c>
      <c r="AS358" s="2541">
        <f>IF(Application!D211="Non-Targeted",(SUM(AQ366+AQ375)),AS362)</f>
        <v>10</v>
      </c>
      <c r="AT358" s="2541"/>
    </row>
    <row r="359" spans="1:46" s="550" customFormat="1" ht="12.75" customHeight="1">
      <c r="A359" s="603"/>
      <c r="B359" s="611"/>
      <c r="C359" s="2520"/>
      <c r="D359" s="2520"/>
      <c r="E359" s="2520"/>
      <c r="F359" s="2520"/>
      <c r="G359" s="2520"/>
      <c r="H359" s="2520"/>
      <c r="I359" s="2520"/>
      <c r="J359" s="2520"/>
      <c r="K359" s="2520"/>
      <c r="L359" s="2520"/>
      <c r="M359" s="2520"/>
      <c r="N359" s="2520"/>
      <c r="O359" s="2520"/>
      <c r="P359" s="2520"/>
      <c r="Q359" s="2520"/>
      <c r="R359" s="2520"/>
      <c r="S359" s="2520"/>
      <c r="T359" s="2520"/>
      <c r="U359" s="2520"/>
      <c r="V359" s="2520"/>
      <c r="W359" s="2520"/>
      <c r="X359" s="2520"/>
      <c r="Y359" s="2520"/>
      <c r="Z359" s="2520"/>
      <c r="AA359" s="2520"/>
      <c r="AB359" s="2520"/>
      <c r="AC359" s="2520"/>
      <c r="AD359" s="2520"/>
      <c r="AE359" s="2520"/>
      <c r="AF359" s="2520"/>
      <c r="AG359" s="2520"/>
      <c r="AH359" s="2520"/>
      <c r="AI359" s="2520"/>
      <c r="AJ359" s="2520"/>
      <c r="AK359" s="603"/>
      <c r="AL359" s="603"/>
      <c r="AM359" s="603"/>
      <c r="AN359" s="597"/>
      <c r="AO359" s="695" t="s">
        <v>119</v>
      </c>
      <c r="AP359" s="696">
        <f>IF(C397="Yes",7,0)</f>
        <v>7</v>
      </c>
      <c r="AS359" s="539" t="s">
        <v>1456</v>
      </c>
    </row>
    <row r="360" spans="1:46" s="550" customFormat="1" ht="12.75" customHeight="1">
      <c r="A360" s="603"/>
      <c r="B360" s="611"/>
      <c r="C360" s="2520"/>
      <c r="D360" s="2520"/>
      <c r="E360" s="2520"/>
      <c r="F360" s="2520"/>
      <c r="G360" s="2520"/>
      <c r="H360" s="2520"/>
      <c r="I360" s="2520"/>
      <c r="J360" s="2520"/>
      <c r="K360" s="2520"/>
      <c r="L360" s="2520"/>
      <c r="M360" s="2520"/>
      <c r="N360" s="2520"/>
      <c r="O360" s="2520"/>
      <c r="P360" s="2520"/>
      <c r="Q360" s="2520"/>
      <c r="R360" s="2520"/>
      <c r="S360" s="2520"/>
      <c r="T360" s="2520"/>
      <c r="U360" s="2520"/>
      <c r="V360" s="2520"/>
      <c r="W360" s="2520"/>
      <c r="X360" s="2520"/>
      <c r="Y360" s="2520"/>
      <c r="Z360" s="2520"/>
      <c r="AA360" s="2520"/>
      <c r="AB360" s="2520"/>
      <c r="AC360" s="2520"/>
      <c r="AD360" s="2520"/>
      <c r="AE360" s="2520"/>
      <c r="AF360" s="2520"/>
      <c r="AG360" s="2520"/>
      <c r="AH360" s="2520"/>
      <c r="AI360" s="2520"/>
      <c r="AJ360" s="2520"/>
      <c r="AK360" s="603"/>
      <c r="AL360" s="603"/>
      <c r="AM360" s="603"/>
      <c r="AN360" s="597"/>
      <c r="AO360" s="597"/>
      <c r="AP360" s="696">
        <f>IF(C399="Yes",5,0)</f>
        <v>0</v>
      </c>
      <c r="AS360" s="2541">
        <f>IF(AND(AQ366&gt;0,AQ375&gt;0),(AQ366+AQ375)/2,0)</f>
        <v>0</v>
      </c>
      <c r="AT360" s="2541"/>
    </row>
    <row r="361" spans="1:46" s="550" customFormat="1" ht="12.75" customHeight="1">
      <c r="A361" s="603"/>
      <c r="B361" s="611"/>
      <c r="C361" s="2520"/>
      <c r="D361" s="2520"/>
      <c r="E361" s="2520"/>
      <c r="F361" s="2520"/>
      <c r="G361" s="2520"/>
      <c r="H361" s="2520"/>
      <c r="I361" s="2520"/>
      <c r="J361" s="2520"/>
      <c r="K361" s="2520"/>
      <c r="L361" s="2520"/>
      <c r="M361" s="2520"/>
      <c r="N361" s="2520"/>
      <c r="O361" s="2520"/>
      <c r="P361" s="2520"/>
      <c r="Q361" s="2520"/>
      <c r="R361" s="2520"/>
      <c r="S361" s="2520"/>
      <c r="T361" s="2520"/>
      <c r="U361" s="2520"/>
      <c r="V361" s="2520"/>
      <c r="W361" s="2520"/>
      <c r="X361" s="2520"/>
      <c r="Y361" s="2520"/>
      <c r="Z361" s="2520"/>
      <c r="AA361" s="2520"/>
      <c r="AB361" s="2520"/>
      <c r="AC361" s="2520"/>
      <c r="AD361" s="2520"/>
      <c r="AE361" s="2520"/>
      <c r="AF361" s="2520"/>
      <c r="AG361" s="2520"/>
      <c r="AH361" s="2520"/>
      <c r="AI361" s="2520"/>
      <c r="AJ361" s="2520"/>
      <c r="AK361" s="603"/>
      <c r="AL361" s="603"/>
      <c r="AM361" s="603"/>
      <c r="AN361" s="597"/>
      <c r="AO361" s="695" t="s">
        <v>581</v>
      </c>
      <c r="AP361" s="696">
        <f>IF(C407="Yes",5,0)</f>
        <v>0</v>
      </c>
      <c r="AS361" s="539" t="s">
        <v>1878</v>
      </c>
    </row>
    <row r="362" spans="1:46" s="550" customFormat="1" ht="12.75" customHeight="1">
      <c r="A362" s="603"/>
      <c r="B362" s="611"/>
      <c r="C362" s="2542" t="s">
        <v>2232</v>
      </c>
      <c r="D362" s="2542"/>
      <c r="E362" s="2542"/>
      <c r="F362" s="2542"/>
      <c r="G362" s="2542"/>
      <c r="H362" s="2542"/>
      <c r="I362" s="2542"/>
      <c r="J362" s="2542"/>
      <c r="K362" s="2542"/>
      <c r="L362" s="2542"/>
      <c r="M362" s="2542"/>
      <c r="N362" s="2542"/>
      <c r="O362" s="2542"/>
      <c r="P362" s="2542"/>
      <c r="Q362" s="2542"/>
      <c r="R362" s="2542"/>
      <c r="S362" s="2542"/>
      <c r="T362" s="2542"/>
      <c r="U362" s="2542"/>
      <c r="V362" s="2542"/>
      <c r="W362" s="2542"/>
      <c r="X362" s="2542"/>
      <c r="Y362" s="2542"/>
      <c r="Z362" s="2542"/>
      <c r="AA362" s="2542"/>
      <c r="AB362" s="2542"/>
      <c r="AC362" s="2542"/>
      <c r="AD362" s="2542"/>
      <c r="AE362" s="2542"/>
      <c r="AF362" s="2542"/>
      <c r="AG362" s="2542"/>
      <c r="AH362" s="2542"/>
      <c r="AI362" s="2542"/>
      <c r="AJ362" s="2542"/>
      <c r="AK362" s="603"/>
      <c r="AL362" s="603"/>
      <c r="AM362" s="603"/>
      <c r="AN362" s="597"/>
      <c r="AO362" s="597"/>
      <c r="AP362" s="696">
        <f>IF(C409="Yes",3,0)</f>
        <v>3</v>
      </c>
      <c r="AS362" s="2541">
        <f>IF(AQ366=0,AQ375,AQ366)</f>
        <v>10</v>
      </c>
      <c r="AT362" s="2541"/>
    </row>
    <row r="363" spans="1:46" s="550" customFormat="1" ht="12.75" customHeight="1">
      <c r="A363" s="603"/>
      <c r="B363" s="611"/>
      <c r="C363" s="2542"/>
      <c r="D363" s="2542"/>
      <c r="E363" s="2542"/>
      <c r="F363" s="2542"/>
      <c r="G363" s="2542"/>
      <c r="H363" s="2542"/>
      <c r="I363" s="2542"/>
      <c r="J363" s="2542"/>
      <c r="K363" s="2542"/>
      <c r="L363" s="2542"/>
      <c r="M363" s="2542"/>
      <c r="N363" s="2542"/>
      <c r="O363" s="2542"/>
      <c r="P363" s="2542"/>
      <c r="Q363" s="2542"/>
      <c r="R363" s="2542"/>
      <c r="S363" s="2542"/>
      <c r="T363" s="2542"/>
      <c r="U363" s="2542"/>
      <c r="V363" s="2542"/>
      <c r="W363" s="2542"/>
      <c r="X363" s="2542"/>
      <c r="Y363" s="2542"/>
      <c r="Z363" s="2542"/>
      <c r="AA363" s="2542"/>
      <c r="AB363" s="2542"/>
      <c r="AC363" s="2542"/>
      <c r="AD363" s="2542"/>
      <c r="AE363" s="2542"/>
      <c r="AF363" s="2542"/>
      <c r="AG363" s="2542"/>
      <c r="AH363" s="2542"/>
      <c r="AI363" s="2542"/>
      <c r="AJ363" s="2542"/>
      <c r="AK363" s="603"/>
      <c r="AL363" s="603"/>
      <c r="AM363" s="603"/>
      <c r="AN363" s="597"/>
      <c r="AO363" s="695" t="s">
        <v>763</v>
      </c>
      <c r="AP363" s="696">
        <f>IF(C412="Yes",5,0)</f>
        <v>0</v>
      </c>
    </row>
    <row r="364" spans="1:46" s="550" customFormat="1" ht="12.75" customHeight="1">
      <c r="A364" s="603"/>
      <c r="B364" s="611"/>
      <c r="C364" s="2542"/>
      <c r="D364" s="2542"/>
      <c r="E364" s="2542"/>
      <c r="F364" s="2542"/>
      <c r="G364" s="2542"/>
      <c r="H364" s="2542"/>
      <c r="I364" s="2542"/>
      <c r="J364" s="2542"/>
      <c r="K364" s="2542"/>
      <c r="L364" s="2542"/>
      <c r="M364" s="2542"/>
      <c r="N364" s="2542"/>
      <c r="O364" s="2542"/>
      <c r="P364" s="2542"/>
      <c r="Q364" s="2542"/>
      <c r="R364" s="2542"/>
      <c r="S364" s="2542"/>
      <c r="T364" s="2542"/>
      <c r="U364" s="2542"/>
      <c r="V364" s="2542"/>
      <c r="W364" s="2542"/>
      <c r="X364" s="2542"/>
      <c r="Y364" s="2542"/>
      <c r="Z364" s="2542"/>
      <c r="AA364" s="2542"/>
      <c r="AB364" s="2542"/>
      <c r="AC364" s="2542"/>
      <c r="AD364" s="2542"/>
      <c r="AE364" s="2542"/>
      <c r="AF364" s="2542"/>
      <c r="AG364" s="2542"/>
      <c r="AH364" s="2542"/>
      <c r="AI364" s="2542"/>
      <c r="AJ364" s="2542"/>
      <c r="AK364" s="603"/>
      <c r="AL364" s="603"/>
      <c r="AM364" s="603"/>
      <c r="AN364" s="597"/>
      <c r="AO364" s="695" t="s">
        <v>584</v>
      </c>
      <c r="AP364" s="696">
        <f>IF(C421="Yes",5,0)</f>
        <v>0</v>
      </c>
    </row>
    <row r="365" spans="1:46" s="550" customFormat="1" ht="11.85" customHeight="1">
      <c r="A365" s="603"/>
      <c r="B365" s="611"/>
      <c r="C365" s="2542"/>
      <c r="D365" s="2542"/>
      <c r="E365" s="2542"/>
      <c r="F365" s="2542"/>
      <c r="G365" s="2542"/>
      <c r="H365" s="2542"/>
      <c r="I365" s="2542"/>
      <c r="J365" s="2542"/>
      <c r="K365" s="2542"/>
      <c r="L365" s="2542"/>
      <c r="M365" s="2542"/>
      <c r="N365" s="2542"/>
      <c r="O365" s="2542"/>
      <c r="P365" s="2542"/>
      <c r="Q365" s="2542"/>
      <c r="R365" s="2542"/>
      <c r="S365" s="2542"/>
      <c r="T365" s="2542"/>
      <c r="U365" s="2542"/>
      <c r="V365" s="2542"/>
      <c r="W365" s="2542"/>
      <c r="X365" s="2542"/>
      <c r="Y365" s="2542"/>
      <c r="Z365" s="2542"/>
      <c r="AA365" s="2542"/>
      <c r="AB365" s="2542"/>
      <c r="AC365" s="2542"/>
      <c r="AD365" s="2542"/>
      <c r="AE365" s="2542"/>
      <c r="AF365" s="2542"/>
      <c r="AG365" s="2542"/>
      <c r="AH365" s="2542"/>
      <c r="AI365" s="2542"/>
      <c r="AJ365" s="2542"/>
      <c r="AK365" s="603"/>
      <c r="AL365" s="603"/>
      <c r="AM365" s="603"/>
      <c r="AN365" s="597"/>
      <c r="AO365" s="697"/>
      <c r="AP365" s="698">
        <f>IF(C423="Yes",3,0)</f>
        <v>0</v>
      </c>
    </row>
    <row r="366" spans="1:46" s="550" customFormat="1" ht="12.4" customHeight="1">
      <c r="A366" s="603"/>
      <c r="B366" s="611"/>
      <c r="C366" s="2542"/>
      <c r="D366" s="2542"/>
      <c r="E366" s="2542"/>
      <c r="F366" s="2542"/>
      <c r="G366" s="2542"/>
      <c r="H366" s="2542"/>
      <c r="I366" s="2542"/>
      <c r="J366" s="2542"/>
      <c r="K366" s="2542"/>
      <c r="L366" s="2542"/>
      <c r="M366" s="2542"/>
      <c r="N366" s="2542"/>
      <c r="O366" s="2542"/>
      <c r="P366" s="2542"/>
      <c r="Q366" s="2542"/>
      <c r="R366" s="2542"/>
      <c r="S366" s="2542"/>
      <c r="T366" s="2542"/>
      <c r="U366" s="2542"/>
      <c r="V366" s="2542"/>
      <c r="W366" s="2542"/>
      <c r="X366" s="2542"/>
      <c r="Y366" s="2542"/>
      <c r="Z366" s="2542"/>
      <c r="AA366" s="2542"/>
      <c r="AB366" s="2542"/>
      <c r="AC366" s="2542"/>
      <c r="AD366" s="2542"/>
      <c r="AE366" s="2542"/>
      <c r="AF366" s="2542"/>
      <c r="AG366" s="2542"/>
      <c r="AH366" s="2542"/>
      <c r="AI366" s="2542"/>
      <c r="AJ366" s="2542"/>
      <c r="AK366" s="603"/>
      <c r="AL366" s="603"/>
      <c r="AM366" s="603"/>
      <c r="AN366" s="597"/>
      <c r="AO366" s="699" t="s">
        <v>227</v>
      </c>
      <c r="AP366" s="700">
        <f>SUM(AP357:AP365)</f>
        <v>10</v>
      </c>
      <c r="AQ366" s="2543">
        <f>IF(AP366&gt;0,AP366,0)</f>
        <v>10</v>
      </c>
      <c r="AR366" s="2543"/>
    </row>
    <row r="367" spans="1:46" s="550" customFormat="1" ht="12.75" customHeight="1">
      <c r="A367" s="603"/>
      <c r="B367" s="611"/>
      <c r="C367" s="2542"/>
      <c r="D367" s="2542"/>
      <c r="E367" s="2542"/>
      <c r="F367" s="2542"/>
      <c r="G367" s="2542"/>
      <c r="H367" s="2542"/>
      <c r="I367" s="2542"/>
      <c r="J367" s="2542"/>
      <c r="K367" s="2542"/>
      <c r="L367" s="2542"/>
      <c r="M367" s="2542"/>
      <c r="N367" s="2542"/>
      <c r="O367" s="2542"/>
      <c r="P367" s="2542"/>
      <c r="Q367" s="2542"/>
      <c r="R367" s="2542"/>
      <c r="S367" s="2542"/>
      <c r="T367" s="2542"/>
      <c r="U367" s="2542"/>
      <c r="V367" s="2542"/>
      <c r="W367" s="2542"/>
      <c r="X367" s="2542"/>
      <c r="Y367" s="2542"/>
      <c r="Z367" s="2542"/>
      <c r="AA367" s="2542"/>
      <c r="AB367" s="2542"/>
      <c r="AC367" s="2542"/>
      <c r="AD367" s="2542"/>
      <c r="AE367" s="2542"/>
      <c r="AF367" s="2542"/>
      <c r="AG367" s="2542"/>
      <c r="AH367" s="2542"/>
      <c r="AI367" s="2542"/>
      <c r="AJ367" s="2542"/>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20" t="s">
        <v>1457</v>
      </c>
      <c r="D369" s="2520"/>
      <c r="E369" s="2520"/>
      <c r="F369" s="2520"/>
      <c r="G369" s="2520"/>
      <c r="H369" s="2520"/>
      <c r="I369" s="2520"/>
      <c r="J369" s="2520"/>
      <c r="K369" s="2520"/>
      <c r="L369" s="2520"/>
      <c r="M369" s="2520"/>
      <c r="N369" s="2520"/>
      <c r="O369" s="2520"/>
      <c r="P369" s="2520"/>
      <c r="Q369" s="2520"/>
      <c r="R369" s="2520"/>
      <c r="S369" s="2520"/>
      <c r="T369" s="2520"/>
      <c r="U369" s="2520"/>
      <c r="V369" s="2520"/>
      <c r="W369" s="2520"/>
      <c r="X369" s="2520"/>
      <c r="Y369" s="2520"/>
      <c r="Z369" s="2520"/>
      <c r="AA369" s="2520"/>
      <c r="AB369" s="2520"/>
      <c r="AC369" s="2520"/>
      <c r="AD369" s="2520"/>
      <c r="AE369" s="2520"/>
      <c r="AF369" s="2520"/>
      <c r="AG369" s="2520"/>
      <c r="AH369" s="2520"/>
      <c r="AI369" s="2520"/>
      <c r="AJ369" s="2520"/>
      <c r="AK369" s="603"/>
      <c r="AL369" s="603"/>
      <c r="AM369" s="603"/>
      <c r="AN369" s="597"/>
      <c r="AO369" s="695" t="s">
        <v>456</v>
      </c>
      <c r="AP369" s="696">
        <f>IF(C442="Yes",5,0)</f>
        <v>0</v>
      </c>
    </row>
    <row r="370" spans="1:81" s="550" customFormat="1" ht="12.75" customHeight="1">
      <c r="A370" s="603"/>
      <c r="B370" s="611"/>
      <c r="C370" s="2520"/>
      <c r="D370" s="2520"/>
      <c r="E370" s="2520"/>
      <c r="F370" s="2520"/>
      <c r="G370" s="2520"/>
      <c r="H370" s="2520"/>
      <c r="I370" s="2520"/>
      <c r="J370" s="2520"/>
      <c r="K370" s="2520"/>
      <c r="L370" s="2520"/>
      <c r="M370" s="2520"/>
      <c r="N370" s="2520"/>
      <c r="O370" s="2520"/>
      <c r="P370" s="2520"/>
      <c r="Q370" s="2520"/>
      <c r="R370" s="2520"/>
      <c r="S370" s="2520"/>
      <c r="T370" s="2520"/>
      <c r="U370" s="2520"/>
      <c r="V370" s="2520"/>
      <c r="W370" s="2520"/>
      <c r="X370" s="2520"/>
      <c r="Y370" s="2520"/>
      <c r="Z370" s="2520"/>
      <c r="AA370" s="2520"/>
      <c r="AB370" s="2520"/>
      <c r="AC370" s="2520"/>
      <c r="AD370" s="2520"/>
      <c r="AE370" s="2520"/>
      <c r="AF370" s="2520"/>
      <c r="AG370" s="2520"/>
      <c r="AH370" s="2520"/>
      <c r="AI370" s="2520"/>
      <c r="AJ370" s="2520"/>
      <c r="AK370" s="603"/>
      <c r="AL370" s="603"/>
      <c r="AM370" s="603"/>
      <c r="AN370" s="597"/>
      <c r="AO370" s="695" t="s">
        <v>461</v>
      </c>
      <c r="AP370" s="696">
        <f>IF(C449="Yes",5,0)</f>
        <v>0</v>
      </c>
    </row>
    <row r="371" spans="1:81" s="550" customFormat="1" ht="68.099999999999994" customHeight="1">
      <c r="A371" s="603"/>
      <c r="B371" s="611"/>
      <c r="C371" s="2520"/>
      <c r="D371" s="2520"/>
      <c r="E371" s="2520"/>
      <c r="F371" s="2520"/>
      <c r="G371" s="2520"/>
      <c r="H371" s="2520"/>
      <c r="I371" s="2520"/>
      <c r="J371" s="2520"/>
      <c r="K371" s="2520"/>
      <c r="L371" s="2520"/>
      <c r="M371" s="2520"/>
      <c r="N371" s="2520"/>
      <c r="O371" s="2520"/>
      <c r="P371" s="2520"/>
      <c r="Q371" s="2520"/>
      <c r="R371" s="2520"/>
      <c r="S371" s="2520"/>
      <c r="T371" s="2520"/>
      <c r="U371" s="2520"/>
      <c r="V371" s="2520"/>
      <c r="W371" s="2520"/>
      <c r="X371" s="2520"/>
      <c r="Y371" s="2520"/>
      <c r="Z371" s="2520"/>
      <c r="AA371" s="2520"/>
      <c r="AB371" s="2520"/>
      <c r="AC371" s="2520"/>
      <c r="AD371" s="2520"/>
      <c r="AE371" s="2520"/>
      <c r="AF371" s="2520"/>
      <c r="AG371" s="2520"/>
      <c r="AH371" s="2520"/>
      <c r="AI371" s="2520"/>
      <c r="AJ371" s="2520"/>
      <c r="AK371" s="603"/>
      <c r="AL371" s="603"/>
      <c r="AM371" s="603"/>
      <c r="AN371" s="597"/>
      <c r="AO371" s="695" t="s">
        <v>646</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628">
        <f>Application!DU802-U374</f>
        <v>417</v>
      </c>
      <c r="V373" s="2628"/>
      <c r="W373" s="2628"/>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629">
        <f>IF(Application!D211="SRO",Application!DU755,Application!AG756)</f>
        <v>0</v>
      </c>
      <c r="V374" s="2629"/>
      <c r="W374" s="2629"/>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43">
        <f>IF(AP375&gt;0,AP375,0)</f>
        <v>0</v>
      </c>
      <c r="AR375" s="2543"/>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524" t="s">
        <v>1459</v>
      </c>
      <c r="G377" s="2524"/>
      <c r="H377" s="2524"/>
      <c r="I377" s="2524"/>
      <c r="J377" s="2524"/>
      <c r="K377" s="2524"/>
      <c r="L377" s="2524"/>
      <c r="M377" s="2524"/>
      <c r="N377" s="2524"/>
      <c r="O377" s="2524"/>
      <c r="P377" s="2524"/>
      <c r="Q377" s="2524"/>
      <c r="R377" s="2524"/>
      <c r="S377" s="2524"/>
      <c r="T377" s="2524"/>
      <c r="U377" s="2524"/>
      <c r="V377" s="2524"/>
      <c r="W377" s="2524"/>
      <c r="X377" s="2524"/>
      <c r="Y377" s="2524"/>
      <c r="Z377" s="2524"/>
      <c r="AA377" s="2524"/>
      <c r="AB377" s="2524"/>
      <c r="AC377" s="2524"/>
      <c r="AD377" s="2524"/>
      <c r="AE377" s="2524"/>
      <c r="AF377" s="2524"/>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5"/>
      <c r="G378" s="2525"/>
      <c r="H378" s="2525"/>
      <c r="I378" s="2525"/>
      <c r="J378" s="2525"/>
      <c r="K378" s="2525"/>
      <c r="L378" s="2525"/>
      <c r="M378" s="2525"/>
      <c r="N378" s="2525"/>
      <c r="O378" s="2525"/>
      <c r="P378" s="2525"/>
      <c r="Q378" s="2525"/>
      <c r="R378" s="2525"/>
      <c r="S378" s="2525"/>
      <c r="T378" s="2525"/>
      <c r="U378" s="2525"/>
      <c r="V378" s="2525"/>
      <c r="W378" s="2525"/>
      <c r="X378" s="2525"/>
      <c r="Y378" s="2525"/>
      <c r="Z378" s="2525"/>
      <c r="AA378" s="2525"/>
      <c r="AB378" s="2525"/>
      <c r="AC378" s="2525"/>
      <c r="AD378" s="2525"/>
      <c r="AE378" s="2525"/>
      <c r="AF378" s="2525"/>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5"/>
      <c r="G379" s="2525"/>
      <c r="H379" s="2525"/>
      <c r="I379" s="2525"/>
      <c r="J379" s="2525"/>
      <c r="K379" s="2525"/>
      <c r="L379" s="2525"/>
      <c r="M379" s="2525"/>
      <c r="N379" s="2525"/>
      <c r="O379" s="2525"/>
      <c r="P379" s="2525"/>
      <c r="Q379" s="2525"/>
      <c r="R379" s="2525"/>
      <c r="S379" s="2525"/>
      <c r="T379" s="2525"/>
      <c r="U379" s="2525"/>
      <c r="V379" s="2525"/>
      <c r="W379" s="2525"/>
      <c r="X379" s="2525"/>
      <c r="Y379" s="2525"/>
      <c r="Z379" s="2525"/>
      <c r="AA379" s="2525"/>
      <c r="AB379" s="2525"/>
      <c r="AC379" s="2525"/>
      <c r="AD379" s="2525"/>
      <c r="AE379" s="2525"/>
      <c r="AF379" s="2525"/>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5"/>
      <c r="G380" s="2525"/>
      <c r="H380" s="2525"/>
      <c r="I380" s="2525"/>
      <c r="J380" s="2525"/>
      <c r="K380" s="2525"/>
      <c r="L380" s="2525"/>
      <c r="M380" s="2525"/>
      <c r="N380" s="2525"/>
      <c r="O380" s="2525"/>
      <c r="P380" s="2525"/>
      <c r="Q380" s="2525"/>
      <c r="R380" s="2525"/>
      <c r="S380" s="2525"/>
      <c r="T380" s="2525"/>
      <c r="U380" s="2525"/>
      <c r="V380" s="2525"/>
      <c r="W380" s="2525"/>
      <c r="X380" s="2525"/>
      <c r="Y380" s="2525"/>
      <c r="Z380" s="2525"/>
      <c r="AA380" s="2525"/>
      <c r="AB380" s="2525"/>
      <c r="AC380" s="2525"/>
      <c r="AD380" s="2525"/>
      <c r="AE380" s="2525"/>
      <c r="AF380" s="2525"/>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1" t="s">
        <v>591</v>
      </c>
      <c r="D381" s="2478"/>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2" t="s">
        <v>1461</v>
      </c>
      <c r="AG381" s="2522"/>
      <c r="AH381" s="2522"/>
      <c r="AI381" s="2522"/>
      <c r="AJ381" s="2522"/>
      <c r="AK381" s="2522"/>
      <c r="AL381" s="2523"/>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524" t="s">
        <v>1462</v>
      </c>
      <c r="G384" s="2524"/>
      <c r="H384" s="2524"/>
      <c r="I384" s="2524"/>
      <c r="J384" s="2524"/>
      <c r="K384" s="2524"/>
      <c r="L384" s="2524"/>
      <c r="M384" s="2524"/>
      <c r="N384" s="2524"/>
      <c r="O384" s="2524"/>
      <c r="P384" s="2524"/>
      <c r="Q384" s="2524"/>
      <c r="R384" s="2524"/>
      <c r="S384" s="2524"/>
      <c r="T384" s="2524"/>
      <c r="U384" s="2524"/>
      <c r="V384" s="2524"/>
      <c r="W384" s="2524"/>
      <c r="X384" s="2524"/>
      <c r="Y384" s="2524"/>
      <c r="Z384" s="2524"/>
      <c r="AA384" s="2524"/>
      <c r="AB384" s="2524"/>
      <c r="AC384" s="2524"/>
      <c r="AD384" s="2524"/>
      <c r="AE384" s="2524"/>
      <c r="AF384" s="2524"/>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5"/>
      <c r="G385" s="2525"/>
      <c r="H385" s="2525"/>
      <c r="I385" s="2525"/>
      <c r="J385" s="2525"/>
      <c r="K385" s="2525"/>
      <c r="L385" s="2525"/>
      <c r="M385" s="2525"/>
      <c r="N385" s="2525"/>
      <c r="O385" s="2525"/>
      <c r="P385" s="2525"/>
      <c r="Q385" s="2525"/>
      <c r="R385" s="2525"/>
      <c r="S385" s="2525"/>
      <c r="T385" s="2525"/>
      <c r="U385" s="2525"/>
      <c r="V385" s="2525"/>
      <c r="W385" s="2525"/>
      <c r="X385" s="2525"/>
      <c r="Y385" s="2525"/>
      <c r="Z385" s="2525"/>
      <c r="AA385" s="2525"/>
      <c r="AB385" s="2525"/>
      <c r="AC385" s="2525"/>
      <c r="AD385" s="2525"/>
      <c r="AE385" s="2525"/>
      <c r="AF385" s="2525"/>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5"/>
      <c r="G386" s="2525"/>
      <c r="H386" s="2525"/>
      <c r="I386" s="2525"/>
      <c r="J386" s="2525"/>
      <c r="K386" s="2525"/>
      <c r="L386" s="2525"/>
      <c r="M386" s="2525"/>
      <c r="N386" s="2525"/>
      <c r="O386" s="2525"/>
      <c r="P386" s="2525"/>
      <c r="Q386" s="2525"/>
      <c r="R386" s="2525"/>
      <c r="S386" s="2525"/>
      <c r="T386" s="2525"/>
      <c r="U386" s="2525"/>
      <c r="V386" s="2525"/>
      <c r="W386" s="2525"/>
      <c r="X386" s="2525"/>
      <c r="Y386" s="2525"/>
      <c r="Z386" s="2525"/>
      <c r="AA386" s="2525"/>
      <c r="AB386" s="2525"/>
      <c r="AC386" s="2525"/>
      <c r="AD386" s="2525"/>
      <c r="AE386" s="2525"/>
      <c r="AF386" s="2525"/>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5"/>
      <c r="G387" s="2525"/>
      <c r="H387" s="2525"/>
      <c r="I387" s="2525"/>
      <c r="J387" s="2525"/>
      <c r="K387" s="2525"/>
      <c r="L387" s="2525"/>
      <c r="M387" s="2525"/>
      <c r="N387" s="2525"/>
      <c r="O387" s="2525"/>
      <c r="P387" s="2525"/>
      <c r="Q387" s="2525"/>
      <c r="R387" s="2525"/>
      <c r="S387" s="2525"/>
      <c r="T387" s="2525"/>
      <c r="U387" s="2525"/>
      <c r="V387" s="2525"/>
      <c r="W387" s="2525"/>
      <c r="X387" s="2525"/>
      <c r="Y387" s="2525"/>
      <c r="Z387" s="2525"/>
      <c r="AA387" s="2525"/>
      <c r="AB387" s="2525"/>
      <c r="AC387" s="2525"/>
      <c r="AD387" s="2525"/>
      <c r="AE387" s="2525"/>
      <c r="AF387" s="2525"/>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5"/>
      <c r="G388" s="2525"/>
      <c r="H388" s="2525"/>
      <c r="I388" s="2525"/>
      <c r="J388" s="2525"/>
      <c r="K388" s="2525"/>
      <c r="L388" s="2525"/>
      <c r="M388" s="2525"/>
      <c r="N388" s="2525"/>
      <c r="O388" s="2525"/>
      <c r="P388" s="2525"/>
      <c r="Q388" s="2525"/>
      <c r="R388" s="2525"/>
      <c r="S388" s="2525"/>
      <c r="T388" s="2525"/>
      <c r="U388" s="2525"/>
      <c r="V388" s="2525"/>
      <c r="W388" s="2525"/>
      <c r="X388" s="2525"/>
      <c r="Y388" s="2525"/>
      <c r="Z388" s="2525"/>
      <c r="AA388" s="2525"/>
      <c r="AB388" s="2525"/>
      <c r="AC388" s="2525"/>
      <c r="AD388" s="2525"/>
      <c r="AE388" s="2525"/>
      <c r="AF388" s="2525"/>
      <c r="AL388" s="732"/>
      <c r="AN388" s="597"/>
      <c r="BS388" s="30"/>
      <c r="BT388" s="30"/>
      <c r="BU388" s="14"/>
      <c r="BV388" s="14"/>
      <c r="BW388" s="14"/>
      <c r="BX388" s="14"/>
      <c r="BY388" s="14"/>
      <c r="BZ388" s="14"/>
      <c r="CA388" s="14"/>
      <c r="CB388" s="14"/>
      <c r="CC388" s="14"/>
    </row>
    <row r="389" spans="1:81" s="550" customFormat="1" ht="12.75" customHeight="1">
      <c r="A389" s="536"/>
      <c r="B389" s="14"/>
      <c r="C389" s="2521" t="s">
        <v>591</v>
      </c>
      <c r="D389" s="2478"/>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2" t="s">
        <v>1461</v>
      </c>
      <c r="AG389" s="2522"/>
      <c r="AH389" s="2522"/>
      <c r="AI389" s="2522"/>
      <c r="AJ389" s="2522"/>
      <c r="AK389" s="2522"/>
      <c r="AL389" s="2523"/>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524" t="s">
        <v>1464</v>
      </c>
      <c r="G392" s="2524"/>
      <c r="H392" s="2524"/>
      <c r="I392" s="2524"/>
      <c r="J392" s="2524"/>
      <c r="K392" s="2524"/>
      <c r="L392" s="2524"/>
      <c r="M392" s="2524"/>
      <c r="N392" s="2524"/>
      <c r="O392" s="2524"/>
      <c r="P392" s="2524"/>
      <c r="Q392" s="2524"/>
      <c r="R392" s="2524"/>
      <c r="S392" s="2524"/>
      <c r="T392" s="2524"/>
      <c r="U392" s="2524"/>
      <c r="V392" s="2524"/>
      <c r="W392" s="2524"/>
      <c r="X392" s="2524"/>
      <c r="Y392" s="2524"/>
      <c r="Z392" s="2524"/>
      <c r="AA392" s="2524"/>
      <c r="AB392" s="2524"/>
      <c r="AC392" s="2524"/>
      <c r="AD392" s="2524"/>
      <c r="AE392" s="2524"/>
      <c r="AF392" s="2524"/>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5"/>
      <c r="G393" s="2525"/>
      <c r="H393" s="2525"/>
      <c r="I393" s="2525"/>
      <c r="J393" s="2525"/>
      <c r="K393" s="2525"/>
      <c r="L393" s="2525"/>
      <c r="M393" s="2525"/>
      <c r="N393" s="2525"/>
      <c r="O393" s="2525"/>
      <c r="P393" s="2525"/>
      <c r="Q393" s="2525"/>
      <c r="R393" s="2525"/>
      <c r="S393" s="2525"/>
      <c r="T393" s="2525"/>
      <c r="U393" s="2525"/>
      <c r="V393" s="2525"/>
      <c r="W393" s="2525"/>
      <c r="X393" s="2525"/>
      <c r="Y393" s="2525"/>
      <c r="Z393" s="2525"/>
      <c r="AA393" s="2525"/>
      <c r="AB393" s="2525"/>
      <c r="AC393" s="2525"/>
      <c r="AD393" s="2525"/>
      <c r="AE393" s="2525"/>
      <c r="AF393" s="2525"/>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5"/>
      <c r="G394" s="2525"/>
      <c r="H394" s="2525"/>
      <c r="I394" s="2525"/>
      <c r="J394" s="2525"/>
      <c r="K394" s="2525"/>
      <c r="L394" s="2525"/>
      <c r="M394" s="2525"/>
      <c r="N394" s="2525"/>
      <c r="O394" s="2525"/>
      <c r="P394" s="2525"/>
      <c r="Q394" s="2525"/>
      <c r="R394" s="2525"/>
      <c r="S394" s="2525"/>
      <c r="T394" s="2525"/>
      <c r="U394" s="2525"/>
      <c r="V394" s="2525"/>
      <c r="W394" s="2525"/>
      <c r="X394" s="2525"/>
      <c r="Y394" s="2525"/>
      <c r="Z394" s="2525"/>
      <c r="AA394" s="2525"/>
      <c r="AB394" s="2525"/>
      <c r="AC394" s="2525"/>
      <c r="AD394" s="2525"/>
      <c r="AE394" s="2525"/>
      <c r="AF394" s="2525"/>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5"/>
      <c r="G395" s="2525"/>
      <c r="H395" s="2525"/>
      <c r="I395" s="2525"/>
      <c r="J395" s="2525"/>
      <c r="K395" s="2525"/>
      <c r="L395" s="2525"/>
      <c r="M395" s="2525"/>
      <c r="N395" s="2525"/>
      <c r="O395" s="2525"/>
      <c r="P395" s="2525"/>
      <c r="Q395" s="2525"/>
      <c r="R395" s="2525"/>
      <c r="S395" s="2525"/>
      <c r="T395" s="2525"/>
      <c r="U395" s="2525"/>
      <c r="V395" s="2525"/>
      <c r="W395" s="2525"/>
      <c r="X395" s="2525"/>
      <c r="Y395" s="2525"/>
      <c r="Z395" s="2525"/>
      <c r="AA395" s="2525"/>
      <c r="AB395" s="2525"/>
      <c r="AC395" s="2525"/>
      <c r="AD395" s="2525"/>
      <c r="AE395" s="2525"/>
      <c r="AF395" s="2525"/>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5"/>
      <c r="G396" s="2525"/>
      <c r="H396" s="2525"/>
      <c r="I396" s="2525"/>
      <c r="J396" s="2525"/>
      <c r="K396" s="2525"/>
      <c r="L396" s="2525"/>
      <c r="M396" s="2525"/>
      <c r="N396" s="2525"/>
      <c r="O396" s="2525"/>
      <c r="P396" s="2525"/>
      <c r="Q396" s="2525"/>
      <c r="R396" s="2525"/>
      <c r="S396" s="2525"/>
      <c r="T396" s="2525"/>
      <c r="U396" s="2525"/>
      <c r="V396" s="2525"/>
      <c r="W396" s="2525"/>
      <c r="X396" s="2525"/>
      <c r="Y396" s="2525"/>
      <c r="Z396" s="2525"/>
      <c r="AA396" s="2525"/>
      <c r="AB396" s="2525"/>
      <c r="AC396" s="2525"/>
      <c r="AD396" s="2525"/>
      <c r="AE396" s="2525"/>
      <c r="AF396" s="2525"/>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1" t="s">
        <v>545</v>
      </c>
      <c r="D397" s="2478"/>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2" t="s">
        <v>1466</v>
      </c>
      <c r="AG397" s="2522"/>
      <c r="AH397" s="2522"/>
      <c r="AI397" s="2522"/>
      <c r="AJ397" s="2522"/>
      <c r="AK397" s="2522"/>
      <c r="AL397" s="2523"/>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1" t="s">
        <v>591</v>
      </c>
      <c r="D399" s="2478"/>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2" t="s">
        <v>1461</v>
      </c>
      <c r="AG399" s="2522"/>
      <c r="AH399" s="2522"/>
      <c r="AI399" s="2522"/>
      <c r="AJ399" s="2522"/>
      <c r="AK399" s="2522"/>
      <c r="AL399" s="2523"/>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524" t="s">
        <v>1470</v>
      </c>
      <c r="G403" s="2524"/>
      <c r="H403" s="2524"/>
      <c r="I403" s="2524"/>
      <c r="J403" s="2524"/>
      <c r="K403" s="2524"/>
      <c r="L403" s="2524"/>
      <c r="M403" s="2524"/>
      <c r="N403" s="2524"/>
      <c r="O403" s="2524"/>
      <c r="P403" s="2524"/>
      <c r="Q403" s="2524"/>
      <c r="R403" s="2524"/>
      <c r="S403" s="2524"/>
      <c r="T403" s="2524"/>
      <c r="U403" s="2524"/>
      <c r="V403" s="2524"/>
      <c r="W403" s="2524"/>
      <c r="X403" s="2524"/>
      <c r="Y403" s="2524"/>
      <c r="Z403" s="2524"/>
      <c r="AA403" s="2524"/>
      <c r="AB403" s="2524"/>
      <c r="AC403" s="2524"/>
      <c r="AD403" s="2524"/>
      <c r="AE403" s="2524"/>
      <c r="AF403" s="2524"/>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5"/>
      <c r="G404" s="2525"/>
      <c r="H404" s="2525"/>
      <c r="I404" s="2525"/>
      <c r="J404" s="2525"/>
      <c r="K404" s="2525"/>
      <c r="L404" s="2525"/>
      <c r="M404" s="2525"/>
      <c r="N404" s="2525"/>
      <c r="O404" s="2525"/>
      <c r="P404" s="2525"/>
      <c r="Q404" s="2525"/>
      <c r="R404" s="2525"/>
      <c r="S404" s="2525"/>
      <c r="T404" s="2525"/>
      <c r="U404" s="2525"/>
      <c r="V404" s="2525"/>
      <c r="W404" s="2525"/>
      <c r="X404" s="2525"/>
      <c r="Y404" s="2525"/>
      <c r="Z404" s="2525"/>
      <c r="AA404" s="2525"/>
      <c r="AB404" s="2525"/>
      <c r="AC404" s="2525"/>
      <c r="AD404" s="2525"/>
      <c r="AE404" s="2525"/>
      <c r="AF404" s="2525"/>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5"/>
      <c r="G405" s="2525"/>
      <c r="H405" s="2525"/>
      <c r="I405" s="2525"/>
      <c r="J405" s="2525"/>
      <c r="K405" s="2525"/>
      <c r="L405" s="2525"/>
      <c r="M405" s="2525"/>
      <c r="N405" s="2525"/>
      <c r="O405" s="2525"/>
      <c r="P405" s="2525"/>
      <c r="Q405" s="2525"/>
      <c r="R405" s="2525"/>
      <c r="S405" s="2525"/>
      <c r="T405" s="2525"/>
      <c r="U405" s="2525"/>
      <c r="V405" s="2525"/>
      <c r="W405" s="2525"/>
      <c r="X405" s="2525"/>
      <c r="Y405" s="2525"/>
      <c r="Z405" s="2525"/>
      <c r="AA405" s="2525"/>
      <c r="AB405" s="2525"/>
      <c r="AC405" s="2525"/>
      <c r="AD405" s="2525"/>
      <c r="AE405" s="2525"/>
      <c r="AF405" s="2525"/>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5"/>
      <c r="G406" s="2525"/>
      <c r="H406" s="2525"/>
      <c r="I406" s="2525"/>
      <c r="J406" s="2525"/>
      <c r="K406" s="2525"/>
      <c r="L406" s="2525"/>
      <c r="M406" s="2525"/>
      <c r="N406" s="2525"/>
      <c r="O406" s="2525"/>
      <c r="P406" s="2525"/>
      <c r="Q406" s="2525"/>
      <c r="R406" s="2525"/>
      <c r="S406" s="2525"/>
      <c r="T406" s="2525"/>
      <c r="U406" s="2525"/>
      <c r="V406" s="2525"/>
      <c r="W406" s="2525"/>
      <c r="X406" s="2525"/>
      <c r="Y406" s="2525"/>
      <c r="Z406" s="2525"/>
      <c r="AA406" s="2525"/>
      <c r="AB406" s="2525"/>
      <c r="AC406" s="2525"/>
      <c r="AD406" s="2525"/>
      <c r="AE406" s="2525"/>
      <c r="AF406" s="2525"/>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1" t="s">
        <v>591</v>
      </c>
      <c r="D407" s="2478"/>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2" t="s">
        <v>1461</v>
      </c>
      <c r="AG407" s="2522"/>
      <c r="AH407" s="2522"/>
      <c r="AI407" s="2522"/>
      <c r="AJ407" s="2522"/>
      <c r="AK407" s="2522"/>
      <c r="AL407" s="2523"/>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1" t="s">
        <v>545</v>
      </c>
      <c r="D409" s="2478"/>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2" t="s">
        <v>1473</v>
      </c>
      <c r="AG409" s="2522"/>
      <c r="AH409" s="2522"/>
      <c r="AI409" s="2522"/>
      <c r="AJ409" s="2522"/>
      <c r="AK409" s="2522"/>
      <c r="AL409" s="2523"/>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1" t="s">
        <v>591</v>
      </c>
      <c r="D412" s="2478"/>
      <c r="E412" s="715" t="s">
        <v>1474</v>
      </c>
      <c r="F412" s="2524" t="s">
        <v>1475</v>
      </c>
      <c r="G412" s="2524"/>
      <c r="H412" s="2524"/>
      <c r="I412" s="2524"/>
      <c r="J412" s="2524"/>
      <c r="K412" s="2524"/>
      <c r="L412" s="2524"/>
      <c r="M412" s="2524"/>
      <c r="N412" s="2524"/>
      <c r="O412" s="2524"/>
      <c r="P412" s="2524"/>
      <c r="Q412" s="2524"/>
      <c r="R412" s="2524"/>
      <c r="S412" s="2524"/>
      <c r="T412" s="2524"/>
      <c r="U412" s="2524"/>
      <c r="V412" s="2524"/>
      <c r="W412" s="2524"/>
      <c r="X412" s="2524"/>
      <c r="Y412" s="2524"/>
      <c r="Z412" s="2524"/>
      <c r="AA412" s="2524"/>
      <c r="AB412" s="2524"/>
      <c r="AC412" s="2524"/>
      <c r="AD412" s="2524"/>
      <c r="AE412" s="2524"/>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5"/>
      <c r="G413" s="2525"/>
      <c r="H413" s="2525"/>
      <c r="I413" s="2525"/>
      <c r="J413" s="2525"/>
      <c r="K413" s="2525"/>
      <c r="L413" s="2525"/>
      <c r="M413" s="2525"/>
      <c r="N413" s="2525"/>
      <c r="O413" s="2525"/>
      <c r="P413" s="2525"/>
      <c r="Q413" s="2525"/>
      <c r="R413" s="2525"/>
      <c r="S413" s="2525"/>
      <c r="T413" s="2525"/>
      <c r="U413" s="2525"/>
      <c r="V413" s="2525"/>
      <c r="W413" s="2525"/>
      <c r="X413" s="2525"/>
      <c r="Y413" s="2525"/>
      <c r="Z413" s="2525"/>
      <c r="AA413" s="2525"/>
      <c r="AB413" s="2525"/>
      <c r="AC413" s="2525"/>
      <c r="AD413" s="2525"/>
      <c r="AE413" s="2525"/>
      <c r="AF413" s="2446" t="s">
        <v>1461</v>
      </c>
      <c r="AG413" s="2446"/>
      <c r="AH413" s="2446"/>
      <c r="AI413" s="2446"/>
      <c r="AJ413" s="2446"/>
      <c r="AK413" s="2446"/>
      <c r="AL413" s="2526"/>
      <c r="AM413" s="570"/>
      <c r="AN413" s="597"/>
      <c r="BS413" s="570"/>
      <c r="BT413" s="570"/>
      <c r="BY413" s="570"/>
      <c r="BZ413" s="570"/>
      <c r="CA413" s="570"/>
      <c r="CB413" s="570"/>
      <c r="CC413" s="570"/>
    </row>
    <row r="414" spans="1:81" s="550" customFormat="1" ht="12.75" customHeight="1">
      <c r="A414" s="536"/>
      <c r="B414" s="14"/>
      <c r="C414" s="731"/>
      <c r="D414" s="14"/>
      <c r="E414" s="691"/>
      <c r="F414" s="2525"/>
      <c r="G414" s="2525"/>
      <c r="H414" s="2525"/>
      <c r="I414" s="2525"/>
      <c r="J414" s="2525"/>
      <c r="K414" s="2525"/>
      <c r="L414" s="2525"/>
      <c r="M414" s="2525"/>
      <c r="N414" s="2525"/>
      <c r="O414" s="2525"/>
      <c r="P414" s="2525"/>
      <c r="Q414" s="2525"/>
      <c r="R414" s="2525"/>
      <c r="S414" s="2525"/>
      <c r="T414" s="2525"/>
      <c r="U414" s="2525"/>
      <c r="V414" s="2525"/>
      <c r="W414" s="2525"/>
      <c r="X414" s="2525"/>
      <c r="Y414" s="2525"/>
      <c r="Z414" s="2525"/>
      <c r="AA414" s="2525"/>
      <c r="AB414" s="2525"/>
      <c r="AC414" s="2525"/>
      <c r="AD414" s="2525"/>
      <c r="AE414" s="2525"/>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4"/>
      <c r="G415" s="2544"/>
      <c r="H415" s="2544"/>
      <c r="I415" s="2544"/>
      <c r="J415" s="2544"/>
      <c r="K415" s="2544"/>
      <c r="L415" s="2544"/>
      <c r="M415" s="2544"/>
      <c r="N415" s="2544"/>
      <c r="O415" s="2544"/>
      <c r="P415" s="2544"/>
      <c r="Q415" s="2544"/>
      <c r="R415" s="2544"/>
      <c r="S415" s="2544"/>
      <c r="T415" s="2544"/>
      <c r="U415" s="2544"/>
      <c r="V415" s="2544"/>
      <c r="W415" s="2544"/>
      <c r="X415" s="2544"/>
      <c r="Y415" s="2544"/>
      <c r="Z415" s="2544"/>
      <c r="AA415" s="2544"/>
      <c r="AB415" s="2544"/>
      <c r="AC415" s="2544"/>
      <c r="AD415" s="2544"/>
      <c r="AE415" s="2544"/>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524" t="s">
        <v>1477</v>
      </c>
      <c r="G417" s="2524"/>
      <c r="H417" s="2524"/>
      <c r="I417" s="2524"/>
      <c r="J417" s="2524"/>
      <c r="K417" s="2524"/>
      <c r="L417" s="2524"/>
      <c r="M417" s="2524"/>
      <c r="N417" s="2524"/>
      <c r="O417" s="2524"/>
      <c r="P417" s="2524"/>
      <c r="Q417" s="2524"/>
      <c r="R417" s="2524"/>
      <c r="S417" s="2524"/>
      <c r="T417" s="2524"/>
      <c r="U417" s="2524"/>
      <c r="V417" s="2524"/>
      <c r="W417" s="2524"/>
      <c r="X417" s="2524"/>
      <c r="Y417" s="2524"/>
      <c r="Z417" s="2524"/>
      <c r="AA417" s="2524"/>
      <c r="AB417" s="2524"/>
      <c r="AC417" s="2524"/>
      <c r="AD417" s="2524"/>
      <c r="AE417" s="2524"/>
      <c r="AF417" s="747"/>
      <c r="AG417" s="747"/>
      <c r="AH417" s="747"/>
      <c r="AI417" s="747"/>
      <c r="AJ417" s="747"/>
      <c r="AK417" s="747"/>
      <c r="AL417" s="748"/>
      <c r="AM417" s="570"/>
    </row>
    <row r="418" spans="1:55">
      <c r="A418" s="536"/>
      <c r="C418" s="731"/>
      <c r="E418" s="691"/>
      <c r="F418" s="2525"/>
      <c r="G418" s="2525"/>
      <c r="H418" s="2525"/>
      <c r="I418" s="2525"/>
      <c r="J418" s="2525"/>
      <c r="K418" s="2525"/>
      <c r="L418" s="2525"/>
      <c r="M418" s="2525"/>
      <c r="N418" s="2525"/>
      <c r="O418" s="2525"/>
      <c r="P418" s="2525"/>
      <c r="Q418" s="2525"/>
      <c r="R418" s="2525"/>
      <c r="S418" s="2525"/>
      <c r="T418" s="2525"/>
      <c r="U418" s="2525"/>
      <c r="V418" s="2525"/>
      <c r="W418" s="2525"/>
      <c r="X418" s="2525"/>
      <c r="Y418" s="2525"/>
      <c r="Z418" s="2525"/>
      <c r="AA418" s="2525"/>
      <c r="AB418" s="2525"/>
      <c r="AC418" s="2525"/>
      <c r="AD418" s="2525"/>
      <c r="AE418" s="2525"/>
      <c r="AF418" s="539"/>
      <c r="AG418" s="536"/>
      <c r="AH418" s="550"/>
      <c r="AI418" s="550"/>
      <c r="AJ418" s="550"/>
      <c r="AK418" s="550"/>
      <c r="AL418" s="732"/>
      <c r="AM418" s="570"/>
    </row>
    <row r="419" spans="1:55" s="550" customFormat="1" ht="12.75" customHeight="1">
      <c r="A419" s="536"/>
      <c r="B419" s="14"/>
      <c r="C419" s="731"/>
      <c r="D419" s="14"/>
      <c r="E419" s="691"/>
      <c r="F419" s="2525"/>
      <c r="G419" s="2525"/>
      <c r="H419" s="2525"/>
      <c r="I419" s="2525"/>
      <c r="J419" s="2525"/>
      <c r="K419" s="2525"/>
      <c r="L419" s="2525"/>
      <c r="M419" s="2525"/>
      <c r="N419" s="2525"/>
      <c r="O419" s="2525"/>
      <c r="P419" s="2525"/>
      <c r="Q419" s="2525"/>
      <c r="R419" s="2525"/>
      <c r="S419" s="2525"/>
      <c r="T419" s="2525"/>
      <c r="U419" s="2525"/>
      <c r="V419" s="2525"/>
      <c r="W419" s="2525"/>
      <c r="X419" s="2525"/>
      <c r="Y419" s="2525"/>
      <c r="Z419" s="2525"/>
      <c r="AA419" s="2525"/>
      <c r="AB419" s="2525"/>
      <c r="AC419" s="2525"/>
      <c r="AD419" s="2525"/>
      <c r="AE419" s="2525"/>
      <c r="AL419" s="732"/>
      <c r="AM419" s="570"/>
      <c r="AN419" s="597"/>
    </row>
    <row r="420" spans="1:55" s="550" customFormat="1" ht="12.75" customHeight="1">
      <c r="A420" s="536"/>
      <c r="B420" s="14"/>
      <c r="C420" s="739"/>
      <c r="F420" s="2525"/>
      <c r="G420" s="2525"/>
      <c r="H420" s="2525"/>
      <c r="I420" s="2525"/>
      <c r="J420" s="2525"/>
      <c r="K420" s="2525"/>
      <c r="L420" s="2525"/>
      <c r="M420" s="2525"/>
      <c r="N420" s="2525"/>
      <c r="O420" s="2525"/>
      <c r="P420" s="2525"/>
      <c r="Q420" s="2525"/>
      <c r="R420" s="2525"/>
      <c r="S420" s="2525"/>
      <c r="T420" s="2525"/>
      <c r="U420" s="2525"/>
      <c r="V420" s="2525"/>
      <c r="W420" s="2525"/>
      <c r="X420" s="2525"/>
      <c r="Y420" s="2525"/>
      <c r="Z420" s="2525"/>
      <c r="AA420" s="2525"/>
      <c r="AB420" s="2525"/>
      <c r="AC420" s="2525"/>
      <c r="AD420" s="2525"/>
      <c r="AE420" s="2525"/>
      <c r="AL420" s="732"/>
      <c r="AM420" s="570"/>
      <c r="AN420" s="597"/>
    </row>
    <row r="421" spans="1:55" s="550" customFormat="1" ht="12.75" customHeight="1">
      <c r="A421" s="536"/>
      <c r="B421" s="14"/>
      <c r="C421" s="2521" t="s">
        <v>591</v>
      </c>
      <c r="D421" s="2478"/>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6" t="s">
        <v>1461</v>
      </c>
      <c r="AG421" s="2446"/>
      <c r="AH421" s="2446"/>
      <c r="AI421" s="2446"/>
      <c r="AJ421" s="2446"/>
      <c r="AK421" s="2446"/>
      <c r="AL421" s="2526"/>
      <c r="AM421" s="570"/>
      <c r="AN421" s="597"/>
    </row>
    <row r="422" spans="1:55" s="550" customFormat="1" ht="12.75" customHeight="1">
      <c r="A422" s="536"/>
      <c r="B422" s="14"/>
      <c r="C422" s="739"/>
      <c r="AL422" s="732"/>
      <c r="AM422" s="570"/>
      <c r="AN422" s="597"/>
    </row>
    <row r="423" spans="1:55" s="550" customFormat="1" ht="12.75" customHeight="1">
      <c r="A423" s="536"/>
      <c r="B423" s="14"/>
      <c r="C423" s="2521" t="s">
        <v>591</v>
      </c>
      <c r="D423" s="2478"/>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6" t="s">
        <v>1473</v>
      </c>
      <c r="AG423" s="2446"/>
      <c r="AH423" s="2446"/>
      <c r="AI423" s="2446"/>
      <c r="AJ423" s="2446"/>
      <c r="AK423" s="2446"/>
      <c r="AL423" s="2526"/>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524" t="s">
        <v>1481</v>
      </c>
      <c r="G427" s="2524"/>
      <c r="H427" s="2524"/>
      <c r="I427" s="2524"/>
      <c r="J427" s="2524"/>
      <c r="K427" s="2524"/>
      <c r="L427" s="2524"/>
      <c r="M427" s="2524"/>
      <c r="N427" s="2524"/>
      <c r="O427" s="2524"/>
      <c r="P427" s="2524"/>
      <c r="Q427" s="2524"/>
      <c r="R427" s="2524"/>
      <c r="S427" s="2524"/>
      <c r="T427" s="2524"/>
      <c r="U427" s="2524"/>
      <c r="V427" s="2524"/>
      <c r="W427" s="2524"/>
      <c r="X427" s="2524"/>
      <c r="Y427" s="2524"/>
      <c r="Z427" s="2524"/>
      <c r="AA427" s="2524"/>
      <c r="AB427" s="2524"/>
      <c r="AC427" s="2524"/>
      <c r="AD427" s="2524"/>
      <c r="AE427" s="2524"/>
      <c r="AF427" s="714"/>
      <c r="AG427" s="714"/>
      <c r="AH427" s="714"/>
      <c r="AI427" s="714"/>
      <c r="AJ427" s="714"/>
      <c r="AK427" s="714"/>
      <c r="AL427" s="745"/>
      <c r="AM427" s="570"/>
      <c r="AN427" s="597"/>
    </row>
    <row r="428" spans="1:55" s="550" customFormat="1" ht="12.75" customHeight="1">
      <c r="A428" s="536"/>
      <c r="B428" s="14"/>
      <c r="C428" s="731"/>
      <c r="D428" s="14"/>
      <c r="E428" s="691"/>
      <c r="F428" s="2525"/>
      <c r="G428" s="2525"/>
      <c r="H428" s="2525"/>
      <c r="I428" s="2525"/>
      <c r="J428" s="2525"/>
      <c r="K428" s="2525"/>
      <c r="L428" s="2525"/>
      <c r="M428" s="2525"/>
      <c r="N428" s="2525"/>
      <c r="O428" s="2525"/>
      <c r="P428" s="2525"/>
      <c r="Q428" s="2525"/>
      <c r="R428" s="2525"/>
      <c r="S428" s="2525"/>
      <c r="T428" s="2525"/>
      <c r="U428" s="2525"/>
      <c r="V428" s="2525"/>
      <c r="W428" s="2525"/>
      <c r="X428" s="2525"/>
      <c r="Y428" s="2525"/>
      <c r="Z428" s="2525"/>
      <c r="AA428" s="2525"/>
      <c r="AB428" s="2525"/>
      <c r="AC428" s="2525"/>
      <c r="AD428" s="2525"/>
      <c r="AE428" s="2525"/>
      <c r="AF428" s="539"/>
      <c r="AG428" s="536"/>
      <c r="AL428" s="732"/>
      <c r="AM428" s="570"/>
      <c r="AN428" s="597"/>
    </row>
    <row r="429" spans="1:55" s="550" customFormat="1" ht="12.4" customHeight="1">
      <c r="A429" s="536"/>
      <c r="B429" s="14"/>
      <c r="C429" s="731"/>
      <c r="D429" s="14"/>
      <c r="E429" s="691"/>
      <c r="F429" s="2525"/>
      <c r="G429" s="2525"/>
      <c r="H429" s="2525"/>
      <c r="I429" s="2525"/>
      <c r="J429" s="2525"/>
      <c r="K429" s="2525"/>
      <c r="L429" s="2525"/>
      <c r="M429" s="2525"/>
      <c r="N429" s="2525"/>
      <c r="O429" s="2525"/>
      <c r="P429" s="2525"/>
      <c r="Q429" s="2525"/>
      <c r="R429" s="2525"/>
      <c r="S429" s="2525"/>
      <c r="T429" s="2525"/>
      <c r="U429" s="2525"/>
      <c r="V429" s="2525"/>
      <c r="W429" s="2525"/>
      <c r="X429" s="2525"/>
      <c r="Y429" s="2525"/>
      <c r="Z429" s="2525"/>
      <c r="AA429" s="2525"/>
      <c r="AB429" s="2525"/>
      <c r="AC429" s="2525"/>
      <c r="AD429" s="2525"/>
      <c r="AE429" s="2525"/>
      <c r="AL429" s="732"/>
      <c r="AM429" s="570"/>
      <c r="AN429" s="597"/>
    </row>
    <row r="430" spans="1:55" s="550" customFormat="1" ht="12.75" customHeight="1">
      <c r="A430" s="536"/>
      <c r="B430" s="14"/>
      <c r="C430" s="2521" t="s">
        <v>591</v>
      </c>
      <c r="D430" s="2478"/>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6" t="s">
        <v>1461</v>
      </c>
      <c r="AG430" s="2446"/>
      <c r="AH430" s="2446"/>
      <c r="AI430" s="2446"/>
      <c r="AJ430" s="2446"/>
      <c r="AK430" s="2446"/>
      <c r="AL430" s="2526"/>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524" t="s">
        <v>1484</v>
      </c>
      <c r="G433" s="2524"/>
      <c r="H433" s="2524"/>
      <c r="I433" s="2524"/>
      <c r="J433" s="2524"/>
      <c r="K433" s="2524"/>
      <c r="L433" s="2524"/>
      <c r="M433" s="2524"/>
      <c r="N433" s="2524"/>
      <c r="O433" s="2524"/>
      <c r="P433" s="2524"/>
      <c r="Q433" s="2524"/>
      <c r="R433" s="2524"/>
      <c r="S433" s="2524"/>
      <c r="T433" s="2524"/>
      <c r="U433" s="2524"/>
      <c r="V433" s="2524"/>
      <c r="W433" s="2524"/>
      <c r="X433" s="2524"/>
      <c r="Y433" s="2524"/>
      <c r="Z433" s="2524"/>
      <c r="AA433" s="2524"/>
      <c r="AB433" s="2524"/>
      <c r="AC433" s="2524"/>
      <c r="AD433" s="2524"/>
      <c r="AE433" s="2524"/>
      <c r="AF433" s="747"/>
      <c r="AG433" s="747"/>
      <c r="AH433" s="747"/>
      <c r="AI433" s="747"/>
      <c r="AJ433" s="747"/>
      <c r="AK433" s="747"/>
      <c r="AL433" s="748"/>
      <c r="AM433" s="570"/>
      <c r="AO433" s="550"/>
      <c r="AP433" s="550"/>
      <c r="BD433" s="14"/>
      <c r="BE433" s="14"/>
      <c r="BF433" s="14"/>
      <c r="BG433" s="14"/>
      <c r="BH433" s="14"/>
    </row>
    <row r="434" spans="1:60">
      <c r="A434" s="536"/>
      <c r="C434" s="731"/>
      <c r="E434" s="691"/>
      <c r="F434" s="2525"/>
      <c r="G434" s="2525"/>
      <c r="H434" s="2525"/>
      <c r="I434" s="2525"/>
      <c r="J434" s="2525"/>
      <c r="K434" s="2525"/>
      <c r="L434" s="2525"/>
      <c r="M434" s="2525"/>
      <c r="N434" s="2525"/>
      <c r="O434" s="2525"/>
      <c r="P434" s="2525"/>
      <c r="Q434" s="2525"/>
      <c r="R434" s="2525"/>
      <c r="S434" s="2525"/>
      <c r="T434" s="2525"/>
      <c r="U434" s="2525"/>
      <c r="V434" s="2525"/>
      <c r="W434" s="2525"/>
      <c r="X434" s="2525"/>
      <c r="Y434" s="2525"/>
      <c r="Z434" s="2525"/>
      <c r="AA434" s="2525"/>
      <c r="AB434" s="2525"/>
      <c r="AC434" s="2525"/>
      <c r="AD434" s="2525"/>
      <c r="AE434" s="2525"/>
      <c r="AF434" s="594"/>
      <c r="AG434" s="594"/>
      <c r="AH434" s="594"/>
      <c r="AI434" s="594"/>
      <c r="AJ434" s="594"/>
      <c r="AK434" s="594"/>
      <c r="AL434" s="750"/>
      <c r="AM434" s="570"/>
      <c r="AO434" s="550"/>
      <c r="AP434" s="550"/>
    </row>
    <row r="435" spans="1:60" s="550" customFormat="1" ht="12.75" customHeight="1">
      <c r="A435" s="536"/>
      <c r="B435" s="14"/>
      <c r="C435" s="731"/>
      <c r="D435" s="14"/>
      <c r="E435" s="691"/>
      <c r="F435" s="2525"/>
      <c r="G435" s="2525"/>
      <c r="H435" s="2525"/>
      <c r="I435" s="2525"/>
      <c r="J435" s="2525"/>
      <c r="K435" s="2525"/>
      <c r="L435" s="2525"/>
      <c r="M435" s="2525"/>
      <c r="N435" s="2525"/>
      <c r="O435" s="2525"/>
      <c r="P435" s="2525"/>
      <c r="Q435" s="2525"/>
      <c r="R435" s="2525"/>
      <c r="S435" s="2525"/>
      <c r="T435" s="2525"/>
      <c r="U435" s="2525"/>
      <c r="V435" s="2525"/>
      <c r="W435" s="2525"/>
      <c r="X435" s="2525"/>
      <c r="Y435" s="2525"/>
      <c r="Z435" s="2525"/>
      <c r="AA435" s="2525"/>
      <c r="AB435" s="2525"/>
      <c r="AC435" s="2525"/>
      <c r="AD435" s="2525"/>
      <c r="AE435" s="2525"/>
      <c r="AF435" s="594"/>
      <c r="AG435" s="594"/>
      <c r="AH435" s="594"/>
      <c r="AI435" s="594"/>
      <c r="AJ435" s="594"/>
      <c r="AK435" s="594"/>
      <c r="AL435" s="750"/>
      <c r="AM435" s="570"/>
      <c r="AN435" s="597"/>
    </row>
    <row r="436" spans="1:60" s="550" customFormat="1" ht="12.75" customHeight="1">
      <c r="A436" s="536"/>
      <c r="B436" s="14"/>
      <c r="C436" s="751"/>
      <c r="D436" s="730"/>
      <c r="E436" s="719"/>
      <c r="F436" s="2525"/>
      <c r="G436" s="2525"/>
      <c r="H436" s="2525"/>
      <c r="I436" s="2525"/>
      <c r="J436" s="2525"/>
      <c r="K436" s="2525"/>
      <c r="L436" s="2525"/>
      <c r="M436" s="2525"/>
      <c r="N436" s="2525"/>
      <c r="O436" s="2525"/>
      <c r="P436" s="2525"/>
      <c r="Q436" s="2525"/>
      <c r="R436" s="2525"/>
      <c r="S436" s="2525"/>
      <c r="T436" s="2525"/>
      <c r="U436" s="2525"/>
      <c r="V436" s="2525"/>
      <c r="W436" s="2525"/>
      <c r="X436" s="2525"/>
      <c r="Y436" s="2525"/>
      <c r="Z436" s="2525"/>
      <c r="AA436" s="2525"/>
      <c r="AB436" s="2525"/>
      <c r="AC436" s="2525"/>
      <c r="AD436" s="2525"/>
      <c r="AE436" s="2525"/>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5"/>
      <c r="G437" s="2525"/>
      <c r="H437" s="2525"/>
      <c r="I437" s="2525"/>
      <c r="J437" s="2525"/>
      <c r="K437" s="2525"/>
      <c r="L437" s="2525"/>
      <c r="M437" s="2525"/>
      <c r="N437" s="2525"/>
      <c r="O437" s="2525"/>
      <c r="P437" s="2525"/>
      <c r="Q437" s="2525"/>
      <c r="R437" s="2525"/>
      <c r="S437" s="2525"/>
      <c r="T437" s="2525"/>
      <c r="U437" s="2525"/>
      <c r="V437" s="2525"/>
      <c r="W437" s="2525"/>
      <c r="X437" s="2525"/>
      <c r="Y437" s="2525"/>
      <c r="Z437" s="2525"/>
      <c r="AA437" s="2525"/>
      <c r="AB437" s="2525"/>
      <c r="AC437" s="2525"/>
      <c r="AD437" s="2525"/>
      <c r="AE437" s="2525"/>
      <c r="AF437" s="594"/>
      <c r="AG437" s="594"/>
      <c r="AH437" s="594"/>
      <c r="AI437" s="594"/>
      <c r="AJ437" s="594"/>
      <c r="AK437" s="594"/>
      <c r="AL437" s="750"/>
      <c r="AM437" s="570"/>
      <c r="AN437" s="597"/>
    </row>
    <row r="438" spans="1:60" s="550" customFormat="1" ht="12.75" customHeight="1">
      <c r="A438" s="536"/>
      <c r="B438" s="14"/>
      <c r="C438" s="751"/>
      <c r="D438" s="730"/>
      <c r="E438" s="719"/>
      <c r="F438" s="2525"/>
      <c r="G438" s="2525"/>
      <c r="H438" s="2525"/>
      <c r="I438" s="2525"/>
      <c r="J438" s="2525"/>
      <c r="K438" s="2525"/>
      <c r="L438" s="2525"/>
      <c r="M438" s="2525"/>
      <c r="N438" s="2525"/>
      <c r="O438" s="2525"/>
      <c r="P438" s="2525"/>
      <c r="Q438" s="2525"/>
      <c r="R438" s="2525"/>
      <c r="S438" s="2525"/>
      <c r="T438" s="2525"/>
      <c r="U438" s="2525"/>
      <c r="V438" s="2525"/>
      <c r="W438" s="2525"/>
      <c r="X438" s="2525"/>
      <c r="Y438" s="2525"/>
      <c r="Z438" s="2525"/>
      <c r="AA438" s="2525"/>
      <c r="AB438" s="2525"/>
      <c r="AC438" s="2525"/>
      <c r="AD438" s="2525"/>
      <c r="AE438" s="2525"/>
      <c r="AF438" s="594"/>
      <c r="AG438" s="594"/>
      <c r="AH438" s="594"/>
      <c r="AI438" s="594"/>
      <c r="AJ438" s="594"/>
      <c r="AK438" s="594"/>
      <c r="AL438" s="750"/>
      <c r="AM438" s="570"/>
      <c r="AN438" s="597"/>
    </row>
    <row r="439" spans="1:60" s="550" customFormat="1" ht="12.75" customHeight="1">
      <c r="A439" s="536"/>
      <c r="B439" s="14"/>
      <c r="C439" s="751"/>
      <c r="D439" s="730"/>
      <c r="E439" s="719"/>
      <c r="F439" s="2525"/>
      <c r="G439" s="2525"/>
      <c r="H439" s="2525"/>
      <c r="I439" s="2525"/>
      <c r="J439" s="2525"/>
      <c r="K439" s="2525"/>
      <c r="L439" s="2525"/>
      <c r="M439" s="2525"/>
      <c r="N439" s="2525"/>
      <c r="O439" s="2525"/>
      <c r="P439" s="2525"/>
      <c r="Q439" s="2525"/>
      <c r="R439" s="2525"/>
      <c r="S439" s="2525"/>
      <c r="T439" s="2525"/>
      <c r="U439" s="2525"/>
      <c r="V439" s="2525"/>
      <c r="W439" s="2525"/>
      <c r="X439" s="2525"/>
      <c r="Y439" s="2525"/>
      <c r="Z439" s="2525"/>
      <c r="AA439" s="2525"/>
      <c r="AB439" s="2525"/>
      <c r="AC439" s="2525"/>
      <c r="AD439" s="2525"/>
      <c r="AE439" s="2525"/>
      <c r="AF439" s="594"/>
      <c r="AG439" s="594"/>
      <c r="AH439" s="594"/>
      <c r="AI439" s="594"/>
      <c r="AJ439" s="594"/>
      <c r="AK439" s="594"/>
      <c r="AL439" s="750"/>
      <c r="AM439" s="570"/>
      <c r="AN439" s="597"/>
    </row>
    <row r="440" spans="1:60" s="550" customFormat="1" ht="12.75" customHeight="1">
      <c r="A440" s="536"/>
      <c r="B440" s="14"/>
      <c r="C440" s="751"/>
      <c r="D440" s="730"/>
      <c r="E440" s="719"/>
      <c r="F440" s="2525"/>
      <c r="G440" s="2525"/>
      <c r="H440" s="2525"/>
      <c r="I440" s="2525"/>
      <c r="J440" s="2525"/>
      <c r="K440" s="2525"/>
      <c r="L440" s="2525"/>
      <c r="M440" s="2525"/>
      <c r="N440" s="2525"/>
      <c r="O440" s="2525"/>
      <c r="P440" s="2525"/>
      <c r="Q440" s="2525"/>
      <c r="R440" s="2525"/>
      <c r="S440" s="2525"/>
      <c r="T440" s="2525"/>
      <c r="U440" s="2525"/>
      <c r="V440" s="2525"/>
      <c r="W440" s="2525"/>
      <c r="X440" s="2525"/>
      <c r="Y440" s="2525"/>
      <c r="Z440" s="2525"/>
      <c r="AA440" s="2525"/>
      <c r="AB440" s="2525"/>
      <c r="AC440" s="2525"/>
      <c r="AD440" s="2525"/>
      <c r="AE440" s="2525"/>
      <c r="AF440" s="594"/>
      <c r="AG440" s="594"/>
      <c r="AH440" s="594"/>
      <c r="AI440" s="594"/>
      <c r="AJ440" s="594"/>
      <c r="AK440" s="594"/>
      <c r="AL440" s="750"/>
      <c r="AM440" s="570"/>
      <c r="AN440" s="597"/>
    </row>
    <row r="441" spans="1:60" s="550" customFormat="1" ht="17.25" customHeight="1">
      <c r="A441" s="536"/>
      <c r="B441" s="14"/>
      <c r="C441" s="751"/>
      <c r="D441" s="730"/>
      <c r="E441" s="719"/>
      <c r="F441" s="2525"/>
      <c r="G441" s="2525"/>
      <c r="H441" s="2525"/>
      <c r="I441" s="2525"/>
      <c r="J441" s="2525"/>
      <c r="K441" s="2525"/>
      <c r="L441" s="2525"/>
      <c r="M441" s="2525"/>
      <c r="N441" s="2525"/>
      <c r="O441" s="2525"/>
      <c r="P441" s="2525"/>
      <c r="Q441" s="2525"/>
      <c r="R441" s="2525"/>
      <c r="S441" s="2525"/>
      <c r="T441" s="2525"/>
      <c r="U441" s="2525"/>
      <c r="V441" s="2525"/>
      <c r="W441" s="2525"/>
      <c r="X441" s="2525"/>
      <c r="Y441" s="2525"/>
      <c r="Z441" s="2525"/>
      <c r="AA441" s="2525"/>
      <c r="AB441" s="2525"/>
      <c r="AC441" s="2525"/>
      <c r="AD441" s="2525"/>
      <c r="AE441" s="2525"/>
      <c r="AL441" s="732"/>
      <c r="AM441" s="570"/>
      <c r="AN441" s="597"/>
    </row>
    <row r="442" spans="1:60" s="550" customFormat="1" ht="12.75" customHeight="1">
      <c r="A442" s="536"/>
      <c r="B442" s="14"/>
      <c r="C442" s="2521" t="s">
        <v>591</v>
      </c>
      <c r="D442" s="2478"/>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6" t="s">
        <v>1461</v>
      </c>
      <c r="AG442" s="2446"/>
      <c r="AH442" s="2446"/>
      <c r="AI442" s="2446"/>
      <c r="AJ442" s="2446"/>
      <c r="AK442" s="2446"/>
      <c r="AL442" s="2526"/>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524" t="s">
        <v>1487</v>
      </c>
      <c r="G445" s="2524"/>
      <c r="H445" s="2524"/>
      <c r="I445" s="2524"/>
      <c r="J445" s="2524"/>
      <c r="K445" s="2524"/>
      <c r="L445" s="2524"/>
      <c r="M445" s="2524"/>
      <c r="N445" s="2524"/>
      <c r="O445" s="2524"/>
      <c r="P445" s="2524"/>
      <c r="Q445" s="2524"/>
      <c r="R445" s="2524"/>
      <c r="S445" s="2524"/>
      <c r="T445" s="2524"/>
      <c r="U445" s="2524"/>
      <c r="V445" s="2524"/>
      <c r="W445" s="2524"/>
      <c r="X445" s="2524"/>
      <c r="Y445" s="2524"/>
      <c r="Z445" s="2524"/>
      <c r="AA445" s="2524"/>
      <c r="AB445" s="2524"/>
      <c r="AC445" s="2524"/>
      <c r="AD445" s="2524"/>
      <c r="AE445" s="2524"/>
      <c r="AF445" s="714"/>
      <c r="AG445" s="714"/>
      <c r="AH445" s="714"/>
      <c r="AI445" s="714"/>
      <c r="AJ445" s="714"/>
      <c r="AK445" s="714"/>
      <c r="AL445" s="745"/>
      <c r="AM445" s="570"/>
      <c r="AN445" s="597"/>
    </row>
    <row r="446" spans="1:60" s="550" customFormat="1" ht="12.75" customHeight="1">
      <c r="A446" s="536"/>
      <c r="B446" s="14"/>
      <c r="C446" s="751"/>
      <c r="D446" s="730"/>
      <c r="E446" s="719"/>
      <c r="F446" s="2525"/>
      <c r="G446" s="2525"/>
      <c r="H446" s="2525"/>
      <c r="I446" s="2525"/>
      <c r="J446" s="2525"/>
      <c r="K446" s="2525"/>
      <c r="L446" s="2525"/>
      <c r="M446" s="2525"/>
      <c r="N446" s="2525"/>
      <c r="O446" s="2525"/>
      <c r="P446" s="2525"/>
      <c r="Q446" s="2525"/>
      <c r="R446" s="2525"/>
      <c r="S446" s="2525"/>
      <c r="T446" s="2525"/>
      <c r="U446" s="2525"/>
      <c r="V446" s="2525"/>
      <c r="W446" s="2525"/>
      <c r="X446" s="2525"/>
      <c r="Y446" s="2525"/>
      <c r="Z446" s="2525"/>
      <c r="AA446" s="2525"/>
      <c r="AB446" s="2525"/>
      <c r="AC446" s="2525"/>
      <c r="AD446" s="2525"/>
      <c r="AE446" s="2525"/>
      <c r="AF446" s="591"/>
      <c r="AG446" s="591"/>
      <c r="AH446" s="591"/>
      <c r="AI446" s="591"/>
      <c r="AJ446" s="591"/>
      <c r="AK446" s="591"/>
      <c r="AL446" s="720"/>
      <c r="AM446" s="570"/>
      <c r="AN446" s="597"/>
    </row>
    <row r="447" spans="1:60" s="550" customFormat="1" ht="12.75" customHeight="1">
      <c r="A447" s="536"/>
      <c r="B447" s="14"/>
      <c r="C447" s="751"/>
      <c r="D447" s="730"/>
      <c r="E447" s="719"/>
      <c r="F447" s="2525"/>
      <c r="G447" s="2525"/>
      <c r="H447" s="2525"/>
      <c r="I447" s="2525"/>
      <c r="J447" s="2525"/>
      <c r="K447" s="2525"/>
      <c r="L447" s="2525"/>
      <c r="M447" s="2525"/>
      <c r="N447" s="2525"/>
      <c r="O447" s="2525"/>
      <c r="P447" s="2525"/>
      <c r="Q447" s="2525"/>
      <c r="R447" s="2525"/>
      <c r="S447" s="2525"/>
      <c r="T447" s="2525"/>
      <c r="U447" s="2525"/>
      <c r="V447" s="2525"/>
      <c r="W447" s="2525"/>
      <c r="X447" s="2525"/>
      <c r="Y447" s="2525"/>
      <c r="Z447" s="2525"/>
      <c r="AA447" s="2525"/>
      <c r="AB447" s="2525"/>
      <c r="AC447" s="2525"/>
      <c r="AD447" s="2525"/>
      <c r="AE447" s="2525"/>
      <c r="AF447" s="591"/>
      <c r="AG447" s="591"/>
      <c r="AH447" s="591"/>
      <c r="AI447" s="591"/>
      <c r="AJ447" s="591"/>
      <c r="AK447" s="591"/>
      <c r="AL447" s="720"/>
      <c r="AM447" s="570"/>
      <c r="AN447" s="597"/>
    </row>
    <row r="448" spans="1:60" s="550" customFormat="1" ht="12.75" customHeight="1">
      <c r="A448" s="536"/>
      <c r="B448" s="14"/>
      <c r="C448" s="751"/>
      <c r="D448" s="730"/>
      <c r="E448" s="719"/>
      <c r="F448" s="2525"/>
      <c r="G448" s="2525"/>
      <c r="H448" s="2525"/>
      <c r="I448" s="2525"/>
      <c r="J448" s="2525"/>
      <c r="K448" s="2525"/>
      <c r="L448" s="2525"/>
      <c r="M448" s="2525"/>
      <c r="N448" s="2525"/>
      <c r="O448" s="2525"/>
      <c r="P448" s="2525"/>
      <c r="Q448" s="2525"/>
      <c r="R448" s="2525"/>
      <c r="S448" s="2525"/>
      <c r="T448" s="2525"/>
      <c r="U448" s="2525"/>
      <c r="V448" s="2525"/>
      <c r="W448" s="2525"/>
      <c r="X448" s="2525"/>
      <c r="Y448" s="2525"/>
      <c r="Z448" s="2525"/>
      <c r="AA448" s="2525"/>
      <c r="AB448" s="2525"/>
      <c r="AC448" s="2525"/>
      <c r="AD448" s="2525"/>
      <c r="AE448" s="2525"/>
      <c r="AL448" s="732"/>
      <c r="AM448" s="570"/>
      <c r="AN448" s="597"/>
    </row>
    <row r="449" spans="1:40" s="550" customFormat="1" ht="12.75" customHeight="1">
      <c r="A449" s="536"/>
      <c r="B449" s="14"/>
      <c r="C449" s="2521" t="s">
        <v>591</v>
      </c>
      <c r="D449" s="2478"/>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6" t="s">
        <v>1461</v>
      </c>
      <c r="AG449" s="2446"/>
      <c r="AH449" s="2446"/>
      <c r="AI449" s="2446"/>
      <c r="AJ449" s="2446"/>
      <c r="AK449" s="2446"/>
      <c r="AL449" s="2526"/>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7" t="s">
        <v>591</v>
      </c>
      <c r="D453" s="2528"/>
      <c r="E453" s="715" t="s">
        <v>1496</v>
      </c>
      <c r="F453" s="2524" t="s">
        <v>1497</v>
      </c>
      <c r="G453" s="2524"/>
      <c r="H453" s="2524"/>
      <c r="I453" s="2524"/>
      <c r="J453" s="2524"/>
      <c r="K453" s="2524"/>
      <c r="L453" s="2524"/>
      <c r="M453" s="2524"/>
      <c r="N453" s="2524"/>
      <c r="O453" s="2524"/>
      <c r="P453" s="2524"/>
      <c r="Q453" s="2524"/>
      <c r="R453" s="2524"/>
      <c r="S453" s="2524"/>
      <c r="T453" s="2524"/>
      <c r="U453" s="2524"/>
      <c r="V453" s="2524"/>
      <c r="W453" s="2524"/>
      <c r="X453" s="2524"/>
      <c r="Y453" s="2524"/>
      <c r="Z453" s="2524"/>
      <c r="AA453" s="2524"/>
      <c r="AB453" s="2524"/>
      <c r="AC453" s="2524"/>
      <c r="AD453" s="2524"/>
      <c r="AE453" s="2524"/>
      <c r="AF453" s="2545" t="s">
        <v>1461</v>
      </c>
      <c r="AG453" s="2545"/>
      <c r="AH453" s="2545"/>
      <c r="AI453" s="2545"/>
      <c r="AJ453" s="2545"/>
      <c r="AK453" s="2545"/>
      <c r="AL453" s="2546"/>
      <c r="AM453" s="570"/>
      <c r="AN453" s="753"/>
    </row>
    <row r="454" spans="1:40" s="550" customFormat="1" ht="12.75" customHeight="1">
      <c r="A454" s="536"/>
      <c r="B454" s="14"/>
      <c r="C454" s="751"/>
      <c r="D454" s="730"/>
      <c r="E454" s="719"/>
      <c r="F454" s="2525"/>
      <c r="G454" s="2525"/>
      <c r="H454" s="2525"/>
      <c r="I454" s="2525"/>
      <c r="J454" s="2525"/>
      <c r="K454" s="2525"/>
      <c r="L454" s="2525"/>
      <c r="M454" s="2525"/>
      <c r="N454" s="2525"/>
      <c r="O454" s="2525"/>
      <c r="P454" s="2525"/>
      <c r="Q454" s="2525"/>
      <c r="R454" s="2525"/>
      <c r="S454" s="2525"/>
      <c r="T454" s="2525"/>
      <c r="U454" s="2525"/>
      <c r="V454" s="2525"/>
      <c r="W454" s="2525"/>
      <c r="X454" s="2525"/>
      <c r="Y454" s="2525"/>
      <c r="Z454" s="2525"/>
      <c r="AA454" s="2525"/>
      <c r="AB454" s="2525"/>
      <c r="AC454" s="2525"/>
      <c r="AD454" s="2525"/>
      <c r="AE454" s="2525"/>
      <c r="AF454" s="591"/>
      <c r="AG454" s="591"/>
      <c r="AH454" s="591"/>
      <c r="AI454" s="591"/>
      <c r="AJ454" s="591"/>
      <c r="AK454" s="591"/>
      <c r="AL454" s="720"/>
      <c r="AM454" s="570"/>
      <c r="AN454" s="754"/>
    </row>
    <row r="455" spans="1:40" s="550" customFormat="1" ht="17.649999999999999" customHeight="1">
      <c r="A455" s="536"/>
      <c r="B455" s="14"/>
      <c r="C455" s="756"/>
      <c r="D455" s="723"/>
      <c r="E455" s="724"/>
      <c r="F455" s="2544"/>
      <c r="G455" s="2544"/>
      <c r="H455" s="2544"/>
      <c r="I455" s="2544"/>
      <c r="J455" s="2544"/>
      <c r="K455" s="2544"/>
      <c r="L455" s="2544"/>
      <c r="M455" s="2544"/>
      <c r="N455" s="2544"/>
      <c r="O455" s="2544"/>
      <c r="P455" s="2544"/>
      <c r="Q455" s="2544"/>
      <c r="R455" s="2544"/>
      <c r="S455" s="2544"/>
      <c r="T455" s="2544"/>
      <c r="U455" s="2544"/>
      <c r="V455" s="2544"/>
      <c r="W455" s="2544"/>
      <c r="X455" s="2544"/>
      <c r="Y455" s="2544"/>
      <c r="Z455" s="2544"/>
      <c r="AA455" s="2544"/>
      <c r="AB455" s="2544"/>
      <c r="AC455" s="2544"/>
      <c r="AD455" s="2544"/>
      <c r="AE455" s="2544"/>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1" t="s">
        <v>591</v>
      </c>
      <c r="D457" s="2478"/>
      <c r="E457" s="715" t="s">
        <v>1502</v>
      </c>
      <c r="F457" s="2524" t="s">
        <v>1503</v>
      </c>
      <c r="G457" s="2524"/>
      <c r="H457" s="2524"/>
      <c r="I457" s="2524"/>
      <c r="J457" s="2524"/>
      <c r="K457" s="2524"/>
      <c r="L457" s="2524"/>
      <c r="M457" s="2524"/>
      <c r="N457" s="2524"/>
      <c r="O457" s="2524"/>
      <c r="P457" s="2524"/>
      <c r="Q457" s="2524"/>
      <c r="R457" s="2524"/>
      <c r="S457" s="2524"/>
      <c r="T457" s="2524"/>
      <c r="U457" s="2524"/>
      <c r="V457" s="2524"/>
      <c r="W457" s="2524"/>
      <c r="X457" s="2524"/>
      <c r="Y457" s="2524"/>
      <c r="Z457" s="2524"/>
      <c r="AA457" s="2524"/>
      <c r="AB457" s="2524"/>
      <c r="AC457" s="2524"/>
      <c r="AD457" s="2524"/>
      <c r="AE457" s="2524"/>
      <c r="AF457" s="2545" t="s">
        <v>1461</v>
      </c>
      <c r="AG457" s="2545"/>
      <c r="AH457" s="2545"/>
      <c r="AI457" s="2545"/>
      <c r="AJ457" s="2545"/>
      <c r="AK457" s="2545"/>
      <c r="AL457" s="2546"/>
      <c r="AM457" s="570"/>
      <c r="AN457" s="535"/>
    </row>
    <row r="458" spans="1:40" s="550" customFormat="1" ht="12.75" customHeight="1">
      <c r="A458" s="536"/>
      <c r="B458" s="14"/>
      <c r="C458" s="731"/>
      <c r="D458" s="14"/>
      <c r="E458" s="691"/>
      <c r="F458" s="2525"/>
      <c r="G458" s="2525"/>
      <c r="H458" s="2525"/>
      <c r="I458" s="2525"/>
      <c r="J458" s="2525"/>
      <c r="K458" s="2525"/>
      <c r="L458" s="2525"/>
      <c r="M458" s="2525"/>
      <c r="N458" s="2525"/>
      <c r="O458" s="2525"/>
      <c r="P458" s="2525"/>
      <c r="Q458" s="2525"/>
      <c r="R458" s="2525"/>
      <c r="S458" s="2525"/>
      <c r="T458" s="2525"/>
      <c r="U458" s="2525"/>
      <c r="V458" s="2525"/>
      <c r="W458" s="2525"/>
      <c r="X458" s="2525"/>
      <c r="Y458" s="2525"/>
      <c r="Z458" s="2525"/>
      <c r="AA458" s="2525"/>
      <c r="AB458" s="2525"/>
      <c r="AC458" s="2525"/>
      <c r="AD458" s="2525"/>
      <c r="AE458" s="2525"/>
      <c r="AF458" s="539"/>
      <c r="AG458" s="536"/>
      <c r="AL458" s="732"/>
      <c r="AM458" s="570"/>
      <c r="AN458" s="535"/>
    </row>
    <row r="459" spans="1:40" s="550" customFormat="1" ht="12.75" customHeight="1">
      <c r="A459" s="536"/>
      <c r="B459" s="14"/>
      <c r="C459" s="731"/>
      <c r="D459" s="14"/>
      <c r="E459" s="691"/>
      <c r="F459" s="2525"/>
      <c r="G459" s="2525"/>
      <c r="H459" s="2525"/>
      <c r="I459" s="2525"/>
      <c r="J459" s="2525"/>
      <c r="K459" s="2525"/>
      <c r="L459" s="2525"/>
      <c r="M459" s="2525"/>
      <c r="N459" s="2525"/>
      <c r="O459" s="2525"/>
      <c r="P459" s="2525"/>
      <c r="Q459" s="2525"/>
      <c r="R459" s="2525"/>
      <c r="S459" s="2525"/>
      <c r="T459" s="2525"/>
      <c r="U459" s="2525"/>
      <c r="V459" s="2525"/>
      <c r="W459" s="2525"/>
      <c r="X459" s="2525"/>
      <c r="Y459" s="2525"/>
      <c r="Z459" s="2525"/>
      <c r="AA459" s="2525"/>
      <c r="AB459" s="2525"/>
      <c r="AC459" s="2525"/>
      <c r="AD459" s="2525"/>
      <c r="AE459" s="2525"/>
      <c r="AF459" s="539"/>
      <c r="AG459" s="536"/>
      <c r="AL459" s="732"/>
      <c r="AM459" s="570"/>
      <c r="AN459" s="535"/>
    </row>
    <row r="460" spans="1:40" s="550" customFormat="1" ht="12.75" customHeight="1">
      <c r="A460" s="536"/>
      <c r="B460" s="14"/>
      <c r="C460" s="756"/>
      <c r="D460" s="723"/>
      <c r="E460" s="724"/>
      <c r="F460" s="2544"/>
      <c r="G460" s="2544"/>
      <c r="H460" s="2544"/>
      <c r="I460" s="2544"/>
      <c r="J460" s="2544"/>
      <c r="K460" s="2544"/>
      <c r="L460" s="2544"/>
      <c r="M460" s="2544"/>
      <c r="N460" s="2544"/>
      <c r="O460" s="2544"/>
      <c r="P460" s="2544"/>
      <c r="Q460" s="2544"/>
      <c r="R460" s="2544"/>
      <c r="S460" s="2544"/>
      <c r="T460" s="2544"/>
      <c r="U460" s="2544"/>
      <c r="V460" s="2544"/>
      <c r="W460" s="2544"/>
      <c r="X460" s="2544"/>
      <c r="Y460" s="2544"/>
      <c r="Z460" s="2544"/>
      <c r="AA460" s="2544"/>
      <c r="AB460" s="2544"/>
      <c r="AC460" s="2544"/>
      <c r="AD460" s="2544"/>
      <c r="AE460" s="2544"/>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524" t="s">
        <v>1506</v>
      </c>
      <c r="G462" s="2524"/>
      <c r="H462" s="2524"/>
      <c r="I462" s="2524"/>
      <c r="J462" s="2524"/>
      <c r="K462" s="2524"/>
      <c r="L462" s="2524"/>
      <c r="M462" s="2524"/>
      <c r="N462" s="2524"/>
      <c r="O462" s="2524"/>
      <c r="P462" s="2524"/>
      <c r="Q462" s="2524"/>
      <c r="R462" s="2524"/>
      <c r="S462" s="2524"/>
      <c r="T462" s="2524"/>
      <c r="U462" s="2524"/>
      <c r="V462" s="2524"/>
      <c r="W462" s="2524"/>
      <c r="X462" s="2524"/>
      <c r="Y462" s="2524"/>
      <c r="Z462" s="2524"/>
      <c r="AA462" s="2524"/>
      <c r="AB462" s="2524"/>
      <c r="AC462" s="2524"/>
      <c r="AD462" s="2524"/>
      <c r="AE462" s="2524"/>
      <c r="AF462" s="2524"/>
      <c r="AG462" s="744"/>
      <c r="AH462" s="714"/>
      <c r="AI462" s="714"/>
      <c r="AJ462" s="714"/>
      <c r="AK462" s="714"/>
      <c r="AL462" s="745"/>
      <c r="AM462" s="570"/>
      <c r="AN462" s="597"/>
    </row>
    <row r="463" spans="1:40" s="550" customFormat="1" ht="12.75" customHeight="1">
      <c r="A463" s="536"/>
      <c r="B463" s="14"/>
      <c r="C463" s="731"/>
      <c r="D463" s="14"/>
      <c r="E463" s="691"/>
      <c r="F463" s="2525"/>
      <c r="G463" s="2525"/>
      <c r="H463" s="2525"/>
      <c r="I463" s="2525"/>
      <c r="J463" s="2525"/>
      <c r="K463" s="2525"/>
      <c r="L463" s="2525"/>
      <c r="M463" s="2525"/>
      <c r="N463" s="2525"/>
      <c r="O463" s="2525"/>
      <c r="P463" s="2525"/>
      <c r="Q463" s="2525"/>
      <c r="R463" s="2525"/>
      <c r="S463" s="2525"/>
      <c r="T463" s="2525"/>
      <c r="U463" s="2525"/>
      <c r="V463" s="2525"/>
      <c r="W463" s="2525"/>
      <c r="X463" s="2525"/>
      <c r="Y463" s="2525"/>
      <c r="Z463" s="2525"/>
      <c r="AA463" s="2525"/>
      <c r="AB463" s="2525"/>
      <c r="AC463" s="2525"/>
      <c r="AD463" s="2525"/>
      <c r="AE463" s="2525"/>
      <c r="AF463" s="2525"/>
      <c r="AL463" s="732"/>
      <c r="AM463" s="570"/>
      <c r="AN463" s="597"/>
    </row>
    <row r="464" spans="1:40" s="550" customFormat="1" ht="12.75" customHeight="1">
      <c r="A464" s="536"/>
      <c r="B464" s="14"/>
      <c r="C464" s="739"/>
      <c r="F464" s="2525"/>
      <c r="G464" s="2525"/>
      <c r="H464" s="2525"/>
      <c r="I464" s="2525"/>
      <c r="J464" s="2525"/>
      <c r="K464" s="2525"/>
      <c r="L464" s="2525"/>
      <c r="M464" s="2525"/>
      <c r="N464" s="2525"/>
      <c r="O464" s="2525"/>
      <c r="P464" s="2525"/>
      <c r="Q464" s="2525"/>
      <c r="R464" s="2525"/>
      <c r="S464" s="2525"/>
      <c r="T464" s="2525"/>
      <c r="U464" s="2525"/>
      <c r="V464" s="2525"/>
      <c r="W464" s="2525"/>
      <c r="X464" s="2525"/>
      <c r="Y464" s="2525"/>
      <c r="Z464" s="2525"/>
      <c r="AA464" s="2525"/>
      <c r="AB464" s="2525"/>
      <c r="AC464" s="2525"/>
      <c r="AD464" s="2525"/>
      <c r="AE464" s="2525"/>
      <c r="AF464" s="2525"/>
      <c r="AL464" s="732"/>
      <c r="AM464" s="570"/>
      <c r="AN464" s="597"/>
    </row>
    <row r="465" spans="1:58" s="550" customFormat="1" ht="12.75" customHeight="1">
      <c r="A465" s="536"/>
      <c r="B465" s="14"/>
      <c r="C465" s="739"/>
      <c r="F465" s="2525"/>
      <c r="G465" s="2525"/>
      <c r="H465" s="2525"/>
      <c r="I465" s="2525"/>
      <c r="J465" s="2525"/>
      <c r="K465" s="2525"/>
      <c r="L465" s="2525"/>
      <c r="M465" s="2525"/>
      <c r="N465" s="2525"/>
      <c r="O465" s="2525"/>
      <c r="P465" s="2525"/>
      <c r="Q465" s="2525"/>
      <c r="R465" s="2525"/>
      <c r="S465" s="2525"/>
      <c r="T465" s="2525"/>
      <c r="U465" s="2525"/>
      <c r="V465" s="2525"/>
      <c r="W465" s="2525"/>
      <c r="X465" s="2525"/>
      <c r="Y465" s="2525"/>
      <c r="Z465" s="2525"/>
      <c r="AA465" s="2525"/>
      <c r="AB465" s="2525"/>
      <c r="AC465" s="2525"/>
      <c r="AD465" s="2525"/>
      <c r="AE465" s="2525"/>
      <c r="AF465" s="2525"/>
      <c r="AL465" s="732"/>
      <c r="AM465" s="570"/>
      <c r="AN465" s="597"/>
    </row>
    <row r="466" spans="1:58" s="550" customFormat="1" ht="12.75" customHeight="1">
      <c r="A466" s="536"/>
      <c r="B466" s="14"/>
      <c r="C466" s="2521" t="s">
        <v>591</v>
      </c>
      <c r="D466" s="2478"/>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2" t="s">
        <v>1461</v>
      </c>
      <c r="AG466" s="2522"/>
      <c r="AH466" s="2522"/>
      <c r="AI466" s="2522"/>
      <c r="AJ466" s="2522"/>
      <c r="AK466" s="2522"/>
      <c r="AL466" s="2523"/>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5"/>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81">
        <f>IF(Application!D214="N/A",AS358,AS360)</f>
        <v>10</v>
      </c>
      <c r="AL469" s="2482"/>
      <c r="AM469" s="2483"/>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1509</v>
      </c>
      <c r="C472" s="539"/>
      <c r="E472" s="596"/>
      <c r="AE472" s="2522" t="s">
        <v>1510</v>
      </c>
      <c r="AF472" s="2522"/>
      <c r="AG472" s="2522"/>
      <c r="AH472" s="2522"/>
      <c r="AI472" s="2522"/>
      <c r="AJ472" s="2522"/>
      <c r="AK472" s="2522"/>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547" t="s">
        <v>591</v>
      </c>
      <c r="D478" s="2548"/>
      <c r="E478" s="761" t="s">
        <v>507</v>
      </c>
      <c r="F478" s="2549" t="s">
        <v>1516</v>
      </c>
      <c r="G478" s="2549"/>
      <c r="H478" s="2549"/>
      <c r="I478" s="2549"/>
      <c r="J478" s="2549"/>
      <c r="K478" s="2549"/>
      <c r="L478" s="2549"/>
      <c r="M478" s="2549"/>
      <c r="N478" s="2549"/>
      <c r="O478" s="2549"/>
      <c r="P478" s="2549"/>
      <c r="Q478" s="2549"/>
      <c r="R478" s="2549"/>
      <c r="S478" s="2549"/>
      <c r="T478" s="2549"/>
      <c r="U478" s="2549"/>
      <c r="V478" s="2549"/>
      <c r="W478" s="2549"/>
      <c r="X478" s="2549"/>
      <c r="Y478" s="2549"/>
      <c r="Z478" s="2549"/>
      <c r="AA478" s="2549"/>
      <c r="AB478" s="2549"/>
      <c r="AC478" s="2549"/>
      <c r="AD478" s="2549"/>
      <c r="AE478" s="2549"/>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50"/>
      <c r="G479" s="2550"/>
      <c r="H479" s="2550"/>
      <c r="I479" s="2550"/>
      <c r="J479" s="2550"/>
      <c r="K479" s="2550"/>
      <c r="L479" s="2550"/>
      <c r="M479" s="2550"/>
      <c r="N479" s="2550"/>
      <c r="O479" s="2550"/>
      <c r="P479" s="2550"/>
      <c r="Q479" s="2550"/>
      <c r="R479" s="2550"/>
      <c r="S479" s="2550"/>
      <c r="T479" s="2550"/>
      <c r="U479" s="2550"/>
      <c r="V479" s="2550"/>
      <c r="W479" s="2550"/>
      <c r="X479" s="2550"/>
      <c r="Y479" s="2550"/>
      <c r="Z479" s="2550"/>
      <c r="AA479" s="2550"/>
      <c r="AB479" s="2550"/>
      <c r="AC479" s="2550"/>
      <c r="AD479" s="2550"/>
      <c r="AE479" s="2550"/>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623" t="s">
        <v>591</v>
      </c>
      <c r="G480" s="2623"/>
      <c r="H480" s="2623"/>
      <c r="I480" s="2623"/>
      <c r="J480" s="2623"/>
      <c r="K480" s="2623"/>
      <c r="L480" s="2623"/>
      <c r="M480" s="2623"/>
      <c r="N480" s="2623"/>
      <c r="O480" s="2623"/>
      <c r="P480" s="2623"/>
      <c r="Q480" s="2623"/>
      <c r="R480" s="2623"/>
      <c r="S480" s="2623"/>
      <c r="T480" s="2623"/>
      <c r="U480" s="2623"/>
      <c r="V480" s="2623"/>
      <c r="W480" s="2623"/>
      <c r="X480" s="2623"/>
      <c r="Y480" s="2623"/>
      <c r="Z480" s="2623"/>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4" t="s">
        <v>545</v>
      </c>
      <c r="D482" s="2625"/>
      <c r="E482" s="761" t="s">
        <v>757</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622" t="s">
        <v>591</v>
      </c>
      <c r="W485" s="2622"/>
      <c r="X485" s="2622"/>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622" t="s">
        <v>591</v>
      </c>
      <c r="W487" s="2622"/>
      <c r="X487" s="2622"/>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622" t="s">
        <v>591</v>
      </c>
      <c r="W492" s="2622"/>
      <c r="X492" s="2622"/>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12"/>
      <c r="E495" s="2612"/>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622" t="s">
        <v>591</v>
      </c>
      <c r="W496" s="2622"/>
      <c r="X496" s="2622"/>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622" t="s">
        <v>591</v>
      </c>
      <c r="W498" s="2622"/>
      <c r="X498" s="2622"/>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7" t="s">
        <v>591</v>
      </c>
      <c r="D501" s="2548"/>
      <c r="E501" s="761" t="s">
        <v>507</v>
      </c>
      <c r="F501" s="2549" t="s">
        <v>1516</v>
      </c>
      <c r="G501" s="2549"/>
      <c r="H501" s="2549"/>
      <c r="I501" s="2549"/>
      <c r="J501" s="2549"/>
      <c r="K501" s="2549"/>
      <c r="L501" s="2549"/>
      <c r="M501" s="2549"/>
      <c r="N501" s="2549"/>
      <c r="O501" s="2549"/>
      <c r="P501" s="2549"/>
      <c r="Q501" s="2549"/>
      <c r="R501" s="2549"/>
      <c r="S501" s="2549"/>
      <c r="T501" s="2549"/>
      <c r="U501" s="2549"/>
      <c r="V501" s="2549"/>
      <c r="W501" s="2549"/>
      <c r="X501" s="2549"/>
      <c r="Y501" s="2549"/>
      <c r="Z501" s="2549"/>
      <c r="AA501" s="2549"/>
      <c r="AB501" s="2549"/>
      <c r="AC501" s="2549"/>
      <c r="AD501" s="2549"/>
      <c r="AE501" s="2549"/>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0"/>
      <c r="G502" s="2550"/>
      <c r="H502" s="2550"/>
      <c r="I502" s="2550"/>
      <c r="J502" s="2550"/>
      <c r="K502" s="2550"/>
      <c r="L502" s="2550"/>
      <c r="M502" s="2550"/>
      <c r="N502" s="2550"/>
      <c r="O502" s="2550"/>
      <c r="P502" s="2550"/>
      <c r="Q502" s="2550"/>
      <c r="R502" s="2550"/>
      <c r="S502" s="2550"/>
      <c r="T502" s="2550"/>
      <c r="U502" s="2550"/>
      <c r="V502" s="2550"/>
      <c r="W502" s="2550"/>
      <c r="X502" s="2550"/>
      <c r="Y502" s="2550"/>
      <c r="Z502" s="2550"/>
      <c r="AA502" s="2550"/>
      <c r="AB502" s="2550"/>
      <c r="AC502" s="2550"/>
      <c r="AD502" s="2550"/>
      <c r="AE502" s="2550"/>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8" t="s">
        <v>591</v>
      </c>
      <c r="G503" s="2618"/>
      <c r="H503" s="2618"/>
      <c r="I503" s="2618"/>
      <c r="J503" s="2618"/>
      <c r="K503" s="2618"/>
      <c r="L503" s="2618"/>
      <c r="M503" s="2618"/>
      <c r="N503" s="2618"/>
      <c r="O503" s="2618"/>
      <c r="P503" s="2618"/>
      <c r="Q503" s="2618"/>
      <c r="R503" s="2618"/>
      <c r="S503" s="2618"/>
      <c r="T503" s="2618"/>
      <c r="U503" s="2618"/>
      <c r="V503" s="2618"/>
      <c r="W503" s="2618"/>
      <c r="X503" s="2618"/>
      <c r="Y503" s="2618"/>
      <c r="Z503" s="2618"/>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7" t="s">
        <v>591</v>
      </c>
      <c r="D505" s="2548"/>
      <c r="E505" s="761" t="s">
        <v>757</v>
      </c>
      <c r="F505" s="2619" t="s">
        <v>1538</v>
      </c>
      <c r="G505" s="2619"/>
      <c r="H505" s="2619"/>
      <c r="I505" s="2619"/>
      <c r="J505" s="2619"/>
      <c r="K505" s="2619"/>
      <c r="L505" s="2619"/>
      <c r="M505" s="2619"/>
      <c r="N505" s="2619"/>
      <c r="O505" s="2619"/>
      <c r="P505" s="2619"/>
      <c r="Q505" s="2619"/>
      <c r="R505" s="2619"/>
      <c r="S505" s="2619"/>
      <c r="T505" s="2619"/>
      <c r="U505" s="2619"/>
      <c r="V505" s="2619"/>
      <c r="W505" s="2619"/>
      <c r="X505" s="2619"/>
      <c r="Y505" s="2619"/>
      <c r="Z505" s="2619"/>
      <c r="AA505" s="2619"/>
      <c r="AB505" s="2619"/>
      <c r="AC505" s="2619"/>
      <c r="AD505" s="2619"/>
      <c r="AE505" s="2619"/>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0"/>
      <c r="G506" s="2620"/>
      <c r="H506" s="2620"/>
      <c r="I506" s="2620"/>
      <c r="J506" s="2620"/>
      <c r="K506" s="2620"/>
      <c r="L506" s="2620"/>
      <c r="M506" s="2620"/>
      <c r="N506" s="2620"/>
      <c r="O506" s="2620"/>
      <c r="P506" s="2620"/>
      <c r="Q506" s="2620"/>
      <c r="R506" s="2620"/>
      <c r="S506" s="2620"/>
      <c r="T506" s="2620"/>
      <c r="U506" s="2620"/>
      <c r="V506" s="2620"/>
      <c r="W506" s="2620"/>
      <c r="X506" s="2620"/>
      <c r="Y506" s="2620"/>
      <c r="Z506" s="2620"/>
      <c r="AA506" s="2620"/>
      <c r="AB506" s="2620"/>
      <c r="AC506" s="2620"/>
      <c r="AD506" s="2620"/>
      <c r="AE506" s="2620"/>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1" t="s">
        <v>591</v>
      </c>
      <c r="G508" s="2621"/>
      <c r="H508" s="2621"/>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7" t="s">
        <v>591</v>
      </c>
      <c r="D510" s="2548"/>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1"/>
      <c r="D512" s="2612"/>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3" t="s">
        <v>591</v>
      </c>
      <c r="H513" s="2613"/>
      <c r="I513" s="2613"/>
      <c r="J513" s="2613"/>
      <c r="K513" s="2613"/>
      <c r="L513" s="2613"/>
      <c r="M513" s="2613"/>
      <c r="N513" s="2613"/>
      <c r="O513" s="2613"/>
      <c r="P513" s="2613"/>
      <c r="Q513" s="2613"/>
      <c r="R513" s="2613"/>
      <c r="S513" s="2613"/>
      <c r="T513" s="2613"/>
      <c r="U513" s="2613"/>
      <c r="V513" s="2613"/>
      <c r="W513" s="2613"/>
      <c r="X513" s="2613"/>
      <c r="Y513" s="2613"/>
      <c r="Z513" s="2613"/>
      <c r="AA513" s="2613"/>
      <c r="AB513" s="2613"/>
      <c r="AC513" s="2613"/>
      <c r="AD513" s="2613"/>
      <c r="AE513" s="2613"/>
      <c r="AF513" s="2613"/>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1" t="s">
        <v>591</v>
      </c>
      <c r="D515" s="2552"/>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1" t="s">
        <v>591</v>
      </c>
      <c r="D519" s="2552"/>
      <c r="F519" s="795" t="s">
        <v>1546</v>
      </c>
      <c r="G519" s="2525" t="s">
        <v>1547</v>
      </c>
      <c r="H519" s="2525"/>
      <c r="I519" s="2525"/>
      <c r="J519" s="2525"/>
      <c r="K519" s="2525"/>
      <c r="L519" s="2525"/>
      <c r="M519" s="2525"/>
      <c r="N519" s="2525"/>
      <c r="O519" s="2525"/>
      <c r="P519" s="2525"/>
      <c r="Q519" s="2525"/>
      <c r="R519" s="2525"/>
      <c r="S519" s="2525"/>
      <c r="T519" s="2525"/>
      <c r="U519" s="2525"/>
      <c r="V519" s="2525"/>
      <c r="W519" s="2525"/>
      <c r="X519" s="2525"/>
      <c r="Y519" s="2525"/>
      <c r="Z519" s="2525"/>
      <c r="AA519" s="2525"/>
      <c r="AB519" s="2525"/>
      <c r="AC519" s="2525"/>
      <c r="AD519" s="2525"/>
      <c r="AE519" s="2525"/>
      <c r="AF519" s="2525"/>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4"/>
      <c r="H520" s="2544"/>
      <c r="I520" s="2544"/>
      <c r="J520" s="2544"/>
      <c r="K520" s="2544"/>
      <c r="L520" s="2544"/>
      <c r="M520" s="2544"/>
      <c r="N520" s="2544"/>
      <c r="O520" s="2544"/>
      <c r="P520" s="2544"/>
      <c r="Q520" s="2544"/>
      <c r="R520" s="2544"/>
      <c r="S520" s="2544"/>
      <c r="T520" s="2544"/>
      <c r="U520" s="2544"/>
      <c r="V520" s="2544"/>
      <c r="W520" s="2544"/>
      <c r="X520" s="2544"/>
      <c r="Y520" s="2544"/>
      <c r="Z520" s="2544"/>
      <c r="AA520" s="2544"/>
      <c r="AB520" s="2544"/>
      <c r="AC520" s="2544"/>
      <c r="AD520" s="2544"/>
      <c r="AE520" s="2544"/>
      <c r="AF520" s="2544"/>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3" t="s">
        <v>591</v>
      </c>
      <c r="D523" s="2554"/>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5" t="s">
        <v>591</v>
      </c>
      <c r="G524" s="2555"/>
      <c r="H524" s="2555"/>
      <c r="I524" s="2555"/>
      <c r="J524" s="2555"/>
      <c r="K524" s="2555"/>
      <c r="L524" s="2555"/>
      <c r="M524" s="2555"/>
      <c r="N524" s="2555"/>
      <c r="O524" s="2555"/>
      <c r="P524" s="2555"/>
      <c r="Q524" s="2555"/>
      <c r="R524" s="2555"/>
      <c r="S524" s="2555"/>
      <c r="T524" s="2555"/>
      <c r="U524" s="2555"/>
      <c r="V524" s="2555"/>
      <c r="W524" s="2555"/>
      <c r="X524" s="2555"/>
      <c r="Y524" s="2555"/>
      <c r="Z524" s="2555"/>
      <c r="AA524" s="2555"/>
      <c r="AB524" s="2555"/>
      <c r="AC524" s="2555"/>
      <c r="AD524" s="2555"/>
      <c r="AE524" s="2555"/>
      <c r="AF524" s="2555"/>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6"/>
      <c r="G525" s="2556"/>
      <c r="H525" s="2556"/>
      <c r="I525" s="2556"/>
      <c r="J525" s="2556"/>
      <c r="K525" s="2556"/>
      <c r="L525" s="2556"/>
      <c r="M525" s="2556"/>
      <c r="N525" s="2556"/>
      <c r="O525" s="2556"/>
      <c r="P525" s="2556"/>
      <c r="Q525" s="2556"/>
      <c r="R525" s="2556"/>
      <c r="S525" s="2556"/>
      <c r="T525" s="2556"/>
      <c r="U525" s="2556"/>
      <c r="V525" s="2556"/>
      <c r="W525" s="2556"/>
      <c r="X525" s="2556"/>
      <c r="Y525" s="2556"/>
      <c r="Z525" s="2556"/>
      <c r="AA525" s="2556"/>
      <c r="AB525" s="2556"/>
      <c r="AC525" s="2556"/>
      <c r="AD525" s="2556"/>
      <c r="AE525" s="2556"/>
      <c r="AF525" s="2556"/>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81">
        <f>SUM(AG479:AG524)</f>
        <v>0</v>
      </c>
      <c r="AL535" s="2482"/>
      <c r="AM535" s="2483"/>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1" t="s">
        <v>1559</v>
      </c>
      <c r="AF538" s="2411"/>
      <c r="AG538" s="2411"/>
      <c r="AH538" s="2411"/>
      <c r="AI538" s="2411"/>
      <c r="AJ538" s="2411"/>
      <c r="AK538" s="2411"/>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8" t="s">
        <v>545</v>
      </c>
      <c r="D541" s="2478"/>
      <c r="E541" s="551"/>
      <c r="F541" s="2605" t="s">
        <v>1560</v>
      </c>
      <c r="G541" s="2606"/>
      <c r="H541" s="2606"/>
      <c r="I541" s="2606"/>
      <c r="J541" s="2606"/>
      <c r="K541" s="2606"/>
      <c r="L541" s="2606"/>
      <c r="M541" s="2606"/>
      <c r="N541" s="2606"/>
      <c r="O541" s="2606"/>
      <c r="P541" s="2606"/>
      <c r="Q541" s="2606"/>
      <c r="R541" s="2606"/>
      <c r="S541" s="2606"/>
      <c r="T541" s="2606"/>
      <c r="U541" s="2606"/>
      <c r="V541" s="2606"/>
      <c r="W541" s="2606"/>
      <c r="X541" s="2606"/>
      <c r="Y541" s="2606"/>
      <c r="Z541" s="2606"/>
      <c r="AA541" s="2606"/>
      <c r="AB541" s="2606"/>
      <c r="AC541" s="2606"/>
      <c r="AD541" s="2606"/>
      <c r="AE541" s="2606"/>
      <c r="AF541" s="2606"/>
      <c r="AG541" s="2606"/>
      <c r="AH541" s="2606"/>
      <c r="AI541" s="2606"/>
      <c r="AJ541" s="2606"/>
      <c r="AK541" s="2606"/>
      <c r="AL541" s="2607"/>
      <c r="AM541" s="595"/>
      <c r="AN541" s="597"/>
    </row>
    <row r="542" spans="1:81" s="550" customFormat="1" ht="12.75" customHeight="1">
      <c r="A542" s="539"/>
      <c r="B542" s="539"/>
      <c r="C542" s="551"/>
      <c r="D542" s="551"/>
      <c r="E542" s="551"/>
      <c r="F542" s="2608"/>
      <c r="G542" s="2609"/>
      <c r="H542" s="2609"/>
      <c r="I542" s="2609"/>
      <c r="J542" s="2609"/>
      <c r="K542" s="2609"/>
      <c r="L542" s="2609"/>
      <c r="M542" s="2609"/>
      <c r="N542" s="2609"/>
      <c r="O542" s="2609"/>
      <c r="P542" s="2609"/>
      <c r="Q542" s="2609"/>
      <c r="R542" s="2609"/>
      <c r="S542" s="2609"/>
      <c r="T542" s="2609"/>
      <c r="U542" s="2609"/>
      <c r="V542" s="2609"/>
      <c r="W542" s="2609"/>
      <c r="X542" s="2609"/>
      <c r="Y542" s="2609"/>
      <c r="Z542" s="2609"/>
      <c r="AA542" s="2609"/>
      <c r="AB542" s="2609"/>
      <c r="AC542" s="2609"/>
      <c r="AD542" s="2609"/>
      <c r="AE542" s="2609"/>
      <c r="AF542" s="2609"/>
      <c r="AG542" s="2609"/>
      <c r="AH542" s="2609"/>
      <c r="AI542" s="2609"/>
      <c r="AJ542" s="2609"/>
      <c r="AK542" s="2609"/>
      <c r="AL542" s="2610"/>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8" t="s">
        <v>591</v>
      </c>
      <c r="D544" s="2478"/>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0" t="s">
        <v>1562</v>
      </c>
      <c r="G545" s="2501"/>
      <c r="H545" s="2501"/>
      <c r="I545" s="2501"/>
      <c r="J545" s="2501"/>
      <c r="K545" s="2501"/>
      <c r="L545" s="2501"/>
      <c r="M545" s="2501"/>
      <c r="N545" s="2501"/>
      <c r="O545" s="2501"/>
      <c r="P545" s="2501"/>
      <c r="Q545" s="2501"/>
      <c r="R545" s="2501"/>
      <c r="S545" s="2501"/>
      <c r="T545" s="2501"/>
      <c r="U545" s="2501"/>
      <c r="V545" s="2501"/>
      <c r="W545" s="2501"/>
      <c r="X545" s="2501"/>
      <c r="Y545" s="2501"/>
      <c r="Z545" s="2501"/>
      <c r="AA545" s="2501"/>
      <c r="AB545" s="2501"/>
      <c r="AC545" s="2501"/>
      <c r="AD545" s="2501"/>
      <c r="AE545" s="2501"/>
      <c r="AF545" s="2501"/>
      <c r="AG545" s="2501"/>
      <c r="AH545" s="2501"/>
      <c r="AI545" s="2501"/>
      <c r="AJ545" s="2501"/>
      <c r="AK545" s="2501"/>
      <c r="AL545" s="2502"/>
      <c r="AM545" s="595"/>
      <c r="AN545" s="597"/>
      <c r="AS545" s="870"/>
      <c r="AT545" s="870"/>
      <c r="AU545" s="870"/>
      <c r="AV545" s="870"/>
      <c r="AW545" s="870"/>
    </row>
    <row r="546" spans="1:49" s="550" customFormat="1" ht="12.75" customHeight="1">
      <c r="B546" s="806"/>
      <c r="C546" s="806"/>
      <c r="D546" s="806"/>
      <c r="E546" s="806"/>
      <c r="F546" s="2500"/>
      <c r="G546" s="2501"/>
      <c r="H546" s="2501"/>
      <c r="I546" s="2501"/>
      <c r="J546" s="2501"/>
      <c r="K546" s="2501"/>
      <c r="L546" s="2501"/>
      <c r="M546" s="2501"/>
      <c r="N546" s="2501"/>
      <c r="O546" s="2501"/>
      <c r="P546" s="2501"/>
      <c r="Q546" s="2501"/>
      <c r="R546" s="2501"/>
      <c r="S546" s="2501"/>
      <c r="T546" s="2501"/>
      <c r="U546" s="2501"/>
      <c r="V546" s="2501"/>
      <c r="W546" s="2501"/>
      <c r="X546" s="2501"/>
      <c r="Y546" s="2501"/>
      <c r="Z546" s="2501"/>
      <c r="AA546" s="2501"/>
      <c r="AB546" s="2501"/>
      <c r="AC546" s="2501"/>
      <c r="AD546" s="2501"/>
      <c r="AE546" s="2501"/>
      <c r="AF546" s="2501"/>
      <c r="AG546" s="2501"/>
      <c r="AH546" s="2501"/>
      <c r="AI546" s="2501"/>
      <c r="AJ546" s="2501"/>
      <c r="AK546" s="2501"/>
      <c r="AL546" s="2502"/>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0" t="s">
        <v>1563</v>
      </c>
      <c r="G548" s="2501"/>
      <c r="H548" s="2501"/>
      <c r="I548" s="2501"/>
      <c r="J548" s="2501"/>
      <c r="K548" s="2501"/>
      <c r="L548" s="2501"/>
      <c r="M548" s="2501"/>
      <c r="N548" s="2501"/>
      <c r="O548" s="2501"/>
      <c r="P548" s="2501"/>
      <c r="Q548" s="2501"/>
      <c r="R548" s="2501"/>
      <c r="S548" s="2501"/>
      <c r="T548" s="2501"/>
      <c r="U548" s="2501"/>
      <c r="V548" s="2501"/>
      <c r="W548" s="2501"/>
      <c r="X548" s="2501"/>
      <c r="Y548" s="2501"/>
      <c r="Z548" s="2501"/>
      <c r="AA548" s="2501"/>
      <c r="AB548" s="2501"/>
      <c r="AC548" s="2501"/>
      <c r="AD548" s="2501"/>
      <c r="AE548" s="2501"/>
      <c r="AF548" s="2501"/>
      <c r="AG548" s="2501"/>
      <c r="AH548" s="2501"/>
      <c r="AI548" s="2501"/>
      <c r="AJ548" s="2501"/>
      <c r="AK548" s="2501"/>
      <c r="AL548" s="813"/>
      <c r="AM548" s="595"/>
      <c r="AN548" s="597"/>
    </row>
    <row r="549" spans="1:49" s="550" customFormat="1" ht="12.75" customHeight="1">
      <c r="B549" s="806"/>
      <c r="C549" s="806"/>
      <c r="D549" s="806"/>
      <c r="E549" s="806"/>
      <c r="F549" s="2503"/>
      <c r="G549" s="2504"/>
      <c r="H549" s="2504"/>
      <c r="I549" s="2504"/>
      <c r="J549" s="2504"/>
      <c r="K549" s="2504"/>
      <c r="L549" s="2504"/>
      <c r="M549" s="2504"/>
      <c r="N549" s="2504"/>
      <c r="O549" s="2504"/>
      <c r="P549" s="2504"/>
      <c r="Q549" s="2504"/>
      <c r="R549" s="2504"/>
      <c r="S549" s="2504"/>
      <c r="T549" s="2504"/>
      <c r="U549" s="2504"/>
      <c r="V549" s="2504"/>
      <c r="W549" s="2504"/>
      <c r="X549" s="2504"/>
      <c r="Y549" s="2504"/>
      <c r="Z549" s="2504"/>
      <c r="AA549" s="2504"/>
      <c r="AB549" s="2504"/>
      <c r="AC549" s="2504"/>
      <c r="AD549" s="2504"/>
      <c r="AE549" s="2504"/>
      <c r="AF549" s="2504"/>
      <c r="AG549" s="2504"/>
      <c r="AH549" s="2504"/>
      <c r="AI549" s="2504"/>
      <c r="AJ549" s="2504"/>
      <c r="AK549" s="2504"/>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7">
        <f>Application!AJ992</f>
        <v>202477675</v>
      </c>
      <c r="AQ550" s="2627"/>
      <c r="AR550" s="2627"/>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4">
        <f>'Sources and Uses Budget'!S107+'Sources and Uses Budget'!T107</f>
        <v>113886128</v>
      </c>
      <c r="AG551" s="2484"/>
      <c r="AH551" s="2484"/>
      <c r="AI551" s="2484"/>
      <c r="AJ551" s="2484"/>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2">
        <f>IFERROR(AP559,0)</f>
        <v>321939504.75</v>
      </c>
      <c r="AG552" s="2632"/>
      <c r="AH552" s="2632"/>
      <c r="AI552" s="2632"/>
      <c r="AJ552" s="2632"/>
      <c r="AK552" s="595"/>
      <c r="AL552" s="595"/>
      <c r="AM552" s="595"/>
      <c r="AN552" s="597"/>
      <c r="AP552" s="2627">
        <f>Application!AJ1045</f>
        <v>18222990.75</v>
      </c>
      <c r="AQ552" s="2627"/>
      <c r="AR552" s="2627"/>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3">
        <f>IFERROR(ROUNDDOWN(IF(C544="YES",((1-(AF551/AF552))*2),(1-(AF551/AF552))),2),0)</f>
        <v>0.64</v>
      </c>
      <c r="AG553" s="2633"/>
      <c r="AH553" s="2633"/>
      <c r="AI553" s="2633"/>
      <c r="AJ553" s="2633"/>
      <c r="AK553" s="595"/>
      <c r="AL553" s="595"/>
      <c r="AM553" s="595"/>
      <c r="AN553" s="597"/>
      <c r="AP553" s="2630">
        <f>Application!AJ1049</f>
        <v>40495535</v>
      </c>
      <c r="AQ553" s="2630"/>
      <c r="AR553" s="2630"/>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6">
        <f>IF(((AP552+AP553)/AP550)&gt;0.8,0.8,((AP552+AP553)/AP550))</f>
        <v>0.28999999999999998</v>
      </c>
      <c r="AQ554" s="2626"/>
      <c r="AR554" s="2626"/>
      <c r="AS554" s="550" t="s">
        <v>2171</v>
      </c>
    </row>
    <row r="555" spans="1:49" s="550" customFormat="1" ht="12.75" customHeight="1">
      <c r="A555" s="624"/>
      <c r="B555" s="2563" t="s">
        <v>2031</v>
      </c>
      <c r="C555" s="2564"/>
      <c r="D555" s="2564"/>
      <c r="E555" s="2564"/>
      <c r="F555" s="2564"/>
      <c r="G555" s="2564"/>
      <c r="H555" s="2564"/>
      <c r="I555" s="2564"/>
      <c r="J555" s="2564"/>
      <c r="K555" s="2564"/>
      <c r="L555" s="2564"/>
      <c r="M555" s="2564"/>
      <c r="N555" s="2564"/>
      <c r="O555" s="2564"/>
      <c r="P555" s="2564"/>
      <c r="Q555" s="2564"/>
      <c r="R555" s="2564"/>
      <c r="S555" s="2564"/>
      <c r="T555" s="2564"/>
      <c r="U555" s="2564"/>
      <c r="V555" s="2564"/>
      <c r="W555" s="2564"/>
      <c r="X555" s="2564"/>
      <c r="Y555" s="2564"/>
      <c r="Z555" s="2564"/>
      <c r="AA555" s="2564"/>
      <c r="AB555" s="2564"/>
      <c r="AC555" s="2564"/>
      <c r="AD555" s="2564"/>
      <c r="AE555" s="2564"/>
      <c r="AF555" s="2564"/>
      <c r="AG555" s="2564"/>
      <c r="AH555" s="2564"/>
      <c r="AI555" s="2564"/>
      <c r="AJ555" s="2565"/>
      <c r="AK555" s="595"/>
      <c r="AL555" s="595"/>
      <c r="AM555" s="595"/>
      <c r="AN555" s="597"/>
    </row>
    <row r="556" spans="1:49" s="550" customFormat="1" ht="12.75" customHeight="1">
      <c r="A556" s="624"/>
      <c r="B556" s="2566"/>
      <c r="C556" s="2567"/>
      <c r="D556" s="2567"/>
      <c r="E556" s="2567"/>
      <c r="F556" s="2567"/>
      <c r="G556" s="2567"/>
      <c r="H556" s="2567"/>
      <c r="I556" s="2567"/>
      <c r="J556" s="2567"/>
      <c r="K556" s="2567"/>
      <c r="L556" s="2567"/>
      <c r="M556" s="2567"/>
      <c r="N556" s="2567"/>
      <c r="O556" s="2567"/>
      <c r="P556" s="2567"/>
      <c r="Q556" s="2567"/>
      <c r="R556" s="2567"/>
      <c r="S556" s="2567"/>
      <c r="T556" s="2567"/>
      <c r="U556" s="2567"/>
      <c r="V556" s="2567"/>
      <c r="W556" s="2567"/>
      <c r="X556" s="2567"/>
      <c r="Y556" s="2567"/>
      <c r="Z556" s="2567"/>
      <c r="AA556" s="2567"/>
      <c r="AB556" s="2567"/>
      <c r="AC556" s="2567"/>
      <c r="AD556" s="2567"/>
      <c r="AE556" s="2567"/>
      <c r="AF556" s="2567"/>
      <c r="AG556" s="2567"/>
      <c r="AH556" s="2567"/>
      <c r="AI556" s="2567"/>
      <c r="AJ556" s="2568"/>
      <c r="AK556" s="595"/>
      <c r="AL556" s="595"/>
      <c r="AM556" s="595"/>
      <c r="AN556" s="597"/>
      <c r="AP556" s="2627">
        <f>AP557-AP552-AP553</f>
        <v>263220979</v>
      </c>
      <c r="AQ556" s="2536"/>
      <c r="AR556" s="2536"/>
      <c r="AS556" s="550" t="s">
        <v>2173</v>
      </c>
    </row>
    <row r="557" spans="1:49" s="550" customFormat="1" ht="12.75" customHeight="1">
      <c r="A557" s="624"/>
      <c r="B557" s="2569"/>
      <c r="C557" s="2570"/>
      <c r="D557" s="2570"/>
      <c r="E557" s="2570"/>
      <c r="F557" s="2570"/>
      <c r="G557" s="2570"/>
      <c r="H557" s="2570"/>
      <c r="I557" s="2570"/>
      <c r="J557" s="2570"/>
      <c r="K557" s="2570"/>
      <c r="L557" s="2570"/>
      <c r="M557" s="2570"/>
      <c r="N557" s="2570"/>
      <c r="O557" s="2570"/>
      <c r="P557" s="2570"/>
      <c r="Q557" s="2570"/>
      <c r="R557" s="2570"/>
      <c r="S557" s="2570"/>
      <c r="T557" s="2570"/>
      <c r="U557" s="2570"/>
      <c r="V557" s="2570"/>
      <c r="W557" s="2570"/>
      <c r="X557" s="2570"/>
      <c r="Y557" s="2570"/>
      <c r="Z557" s="2570"/>
      <c r="AA557" s="2570"/>
      <c r="AB557" s="2570"/>
      <c r="AC557" s="2570"/>
      <c r="AD557" s="2570"/>
      <c r="AE557" s="2570"/>
      <c r="AF557" s="2570"/>
      <c r="AG557" s="2570"/>
      <c r="AH557" s="2570"/>
      <c r="AI557" s="2570"/>
      <c r="AJ557" s="2571"/>
      <c r="AK557" s="595"/>
      <c r="AL557" s="595"/>
      <c r="AM557" s="595"/>
      <c r="AN557" s="597"/>
      <c r="AP557" s="2627">
        <f>Application!AJ1053</f>
        <v>321939504.75</v>
      </c>
      <c r="AQ557" s="2627"/>
      <c r="AR557" s="2627"/>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72">
        <f>IFERROR(IF(AND(C541="N/A",C544="N/A"),0,IF(AF553=0,0,IF((AF553*100)&gt;12,12,(AF553*100)))),0)</f>
        <v>12</v>
      </c>
      <c r="AL559" s="2572"/>
      <c r="AM559" s="2573"/>
      <c r="AN559" s="597"/>
      <c r="AP559" s="2644">
        <f>AP556+(AP550*AP554)</f>
        <v>321939504.75</v>
      </c>
      <c r="AQ559" s="2645"/>
      <c r="AR559" s="2646"/>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1" t="s">
        <v>1313</v>
      </c>
      <c r="AF562" s="2411"/>
      <c r="AG562" s="2411"/>
      <c r="AH562" s="2411"/>
      <c r="AI562" s="2411"/>
      <c r="AJ562" s="2411"/>
      <c r="AK562" s="2411"/>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1" t="s">
        <v>2022</v>
      </c>
      <c r="C564" s="2501"/>
      <c r="D564" s="2501"/>
      <c r="E564" s="2501"/>
      <c r="F564" s="2501"/>
      <c r="G564" s="2501"/>
      <c r="H564" s="2501"/>
      <c r="I564" s="2501"/>
      <c r="J564" s="2501"/>
      <c r="K564" s="2501"/>
      <c r="L564" s="2501"/>
      <c r="M564" s="2501"/>
      <c r="N564" s="2501"/>
      <c r="O564" s="2501"/>
      <c r="P564" s="2501"/>
      <c r="Q564" s="2501"/>
      <c r="R564" s="2501"/>
      <c r="S564" s="2501"/>
      <c r="T564" s="2501"/>
      <c r="U564" s="2501"/>
      <c r="V564" s="2501"/>
      <c r="W564" s="2501"/>
      <c r="X564" s="2501"/>
      <c r="Y564" s="2501"/>
      <c r="Z564" s="2501"/>
      <c r="AA564" s="2501"/>
      <c r="AB564" s="2501"/>
      <c r="AC564" s="2501"/>
      <c r="AD564" s="2501"/>
      <c r="AE564" s="2501"/>
      <c r="AF564" s="2501"/>
      <c r="AG564" s="2501"/>
      <c r="AH564" s="2501"/>
      <c r="AI564" s="2501"/>
      <c r="AJ564" s="2501"/>
      <c r="AK564" s="642"/>
      <c r="AL564" s="573"/>
      <c r="AM564" s="603"/>
      <c r="AN564" s="597"/>
    </row>
    <row r="565" spans="1:42" s="550" customFormat="1" ht="12.75" customHeight="1">
      <c r="A565" s="603"/>
      <c r="B565" s="2501"/>
      <c r="C565" s="2501"/>
      <c r="D565" s="2501"/>
      <c r="E565" s="2501"/>
      <c r="F565" s="2501"/>
      <c r="G565" s="2501"/>
      <c r="H565" s="2501"/>
      <c r="I565" s="2501"/>
      <c r="J565" s="2501"/>
      <c r="K565" s="2501"/>
      <c r="L565" s="2501"/>
      <c r="M565" s="2501"/>
      <c r="N565" s="2501"/>
      <c r="O565" s="2501"/>
      <c r="P565" s="2501"/>
      <c r="Q565" s="2501"/>
      <c r="R565" s="2501"/>
      <c r="S565" s="2501"/>
      <c r="T565" s="2501"/>
      <c r="U565" s="2501"/>
      <c r="V565" s="2501"/>
      <c r="W565" s="2501"/>
      <c r="X565" s="2501"/>
      <c r="Y565" s="2501"/>
      <c r="Z565" s="2501"/>
      <c r="AA565" s="2501"/>
      <c r="AB565" s="2501"/>
      <c r="AC565" s="2501"/>
      <c r="AD565" s="2501"/>
      <c r="AE565" s="2501"/>
      <c r="AF565" s="2501"/>
      <c r="AG565" s="2501"/>
      <c r="AH565" s="2501"/>
      <c r="AI565" s="2501"/>
      <c r="AJ565" s="2501"/>
      <c r="AK565" s="642"/>
      <c r="AL565" s="573"/>
      <c r="AM565" s="603"/>
      <c r="AN565" s="597"/>
    </row>
    <row r="566" spans="1:42" s="550" customFormat="1" ht="12.75" customHeight="1">
      <c r="A566" s="603"/>
      <c r="B566" s="2501"/>
      <c r="C566" s="2501"/>
      <c r="D566" s="2501"/>
      <c r="E566" s="2501"/>
      <c r="F566" s="2501"/>
      <c r="G566" s="2501"/>
      <c r="H566" s="2501"/>
      <c r="I566" s="2501"/>
      <c r="J566" s="2501"/>
      <c r="K566" s="2501"/>
      <c r="L566" s="2501"/>
      <c r="M566" s="2501"/>
      <c r="N566" s="2501"/>
      <c r="O566" s="2501"/>
      <c r="P566" s="2501"/>
      <c r="Q566" s="2501"/>
      <c r="R566" s="2501"/>
      <c r="S566" s="2501"/>
      <c r="T566" s="2501"/>
      <c r="U566" s="2501"/>
      <c r="V566" s="2501"/>
      <c r="W566" s="2501"/>
      <c r="X566" s="2501"/>
      <c r="Y566" s="2501"/>
      <c r="Z566" s="2501"/>
      <c r="AA566" s="2501"/>
      <c r="AB566" s="2501"/>
      <c r="AC566" s="2501"/>
      <c r="AD566" s="2501"/>
      <c r="AE566" s="2501"/>
      <c r="AF566" s="2501"/>
      <c r="AG566" s="2501"/>
      <c r="AH566" s="2501"/>
      <c r="AI566" s="2501"/>
      <c r="AJ566" s="2501"/>
      <c r="AK566" s="642"/>
      <c r="AL566" s="573"/>
      <c r="AM566" s="603"/>
      <c r="AN566" s="597"/>
    </row>
    <row r="567" spans="1:42" s="550" customFormat="1" ht="12.75" customHeight="1">
      <c r="A567" s="603"/>
      <c r="B567" s="2501"/>
      <c r="C567" s="2501"/>
      <c r="D567" s="2501"/>
      <c r="E567" s="2501"/>
      <c r="F567" s="2501"/>
      <c r="G567" s="2501"/>
      <c r="H567" s="2501"/>
      <c r="I567" s="2501"/>
      <c r="J567" s="2501"/>
      <c r="K567" s="2501"/>
      <c r="L567" s="2501"/>
      <c r="M567" s="2501"/>
      <c r="N567" s="2501"/>
      <c r="O567" s="2501"/>
      <c r="P567" s="2501"/>
      <c r="Q567" s="2501"/>
      <c r="R567" s="2501"/>
      <c r="S567" s="2501"/>
      <c r="T567" s="2501"/>
      <c r="U567" s="2501"/>
      <c r="V567" s="2501"/>
      <c r="W567" s="2501"/>
      <c r="X567" s="2501"/>
      <c r="Y567" s="2501"/>
      <c r="Z567" s="2501"/>
      <c r="AA567" s="2501"/>
      <c r="AB567" s="2501"/>
      <c r="AC567" s="2501"/>
      <c r="AD567" s="2501"/>
      <c r="AE567" s="2501"/>
      <c r="AF567" s="2501"/>
      <c r="AG567" s="2501"/>
      <c r="AH567" s="2501"/>
      <c r="AI567" s="2501"/>
      <c r="AJ567" s="2501"/>
      <c r="AK567" s="642"/>
      <c r="AL567" s="573"/>
      <c r="AM567" s="603"/>
      <c r="AN567" s="597"/>
    </row>
    <row r="568" spans="1:42" s="550" customFormat="1" ht="12.75" customHeight="1">
      <c r="A568" s="603"/>
      <c r="B568" s="2501"/>
      <c r="C568" s="2501"/>
      <c r="D568" s="2501"/>
      <c r="E568" s="2501"/>
      <c r="F568" s="2501"/>
      <c r="G568" s="2501"/>
      <c r="H568" s="2501"/>
      <c r="I568" s="2501"/>
      <c r="J568" s="2501"/>
      <c r="K568" s="2501"/>
      <c r="L568" s="2501"/>
      <c r="M568" s="2501"/>
      <c r="N568" s="2501"/>
      <c r="O568" s="2501"/>
      <c r="P568" s="2501"/>
      <c r="Q568" s="2501"/>
      <c r="R568" s="2501"/>
      <c r="S568" s="2501"/>
      <c r="T568" s="2501"/>
      <c r="U568" s="2501"/>
      <c r="V568" s="2501"/>
      <c r="W568" s="2501"/>
      <c r="X568" s="2501"/>
      <c r="Y568" s="2501"/>
      <c r="Z568" s="2501"/>
      <c r="AA568" s="2501"/>
      <c r="AB568" s="2501"/>
      <c r="AC568" s="2501"/>
      <c r="AD568" s="2501"/>
      <c r="AE568" s="2501"/>
      <c r="AF568" s="2501"/>
      <c r="AG568" s="2501"/>
      <c r="AH568" s="2501"/>
      <c r="AI568" s="2501"/>
      <c r="AJ568" s="2501"/>
      <c r="AK568" s="642"/>
      <c r="AL568" s="573"/>
      <c r="AM568" s="603"/>
      <c r="AN568" s="597"/>
    </row>
    <row r="569" spans="1:42" s="550" customFormat="1" ht="12.75" customHeight="1">
      <c r="A569" s="603"/>
      <c r="B569" s="2501"/>
      <c r="C569" s="2501"/>
      <c r="D569" s="2501"/>
      <c r="E569" s="2501"/>
      <c r="F569" s="2501"/>
      <c r="G569" s="2501"/>
      <c r="H569" s="2501"/>
      <c r="I569" s="2501"/>
      <c r="J569" s="2501"/>
      <c r="K569" s="2501"/>
      <c r="L569" s="2501"/>
      <c r="M569" s="2501"/>
      <c r="N569" s="2501"/>
      <c r="O569" s="2501"/>
      <c r="P569" s="2501"/>
      <c r="Q569" s="2501"/>
      <c r="R569" s="2501"/>
      <c r="S569" s="2501"/>
      <c r="T569" s="2501"/>
      <c r="U569" s="2501"/>
      <c r="V569" s="2501"/>
      <c r="W569" s="2501"/>
      <c r="X569" s="2501"/>
      <c r="Y569" s="2501"/>
      <c r="Z569" s="2501"/>
      <c r="AA569" s="2501"/>
      <c r="AB569" s="2501"/>
      <c r="AC569" s="2501"/>
      <c r="AD569" s="2501"/>
      <c r="AE569" s="2501"/>
      <c r="AF569" s="2501"/>
      <c r="AG569" s="2501"/>
      <c r="AH569" s="2501"/>
      <c r="AI569" s="2501"/>
      <c r="AJ569" s="2501"/>
      <c r="AK569" s="642"/>
      <c r="AL569" s="573"/>
      <c r="AM569" s="603"/>
      <c r="AN569" s="597"/>
    </row>
    <row r="570" spans="1:42" s="550" customFormat="1" ht="12.75" customHeight="1">
      <c r="A570" s="603"/>
      <c r="B570" s="2501"/>
      <c r="C570" s="2501"/>
      <c r="D570" s="2501"/>
      <c r="E570" s="2501"/>
      <c r="F570" s="2501"/>
      <c r="G570" s="2501"/>
      <c r="H570" s="2501"/>
      <c r="I570" s="2501"/>
      <c r="J570" s="2501"/>
      <c r="K570" s="2501"/>
      <c r="L570" s="2501"/>
      <c r="M570" s="2501"/>
      <c r="N570" s="2501"/>
      <c r="O570" s="2501"/>
      <c r="P570" s="2501"/>
      <c r="Q570" s="2501"/>
      <c r="R570" s="2501"/>
      <c r="S570" s="2501"/>
      <c r="T570" s="2501"/>
      <c r="U570" s="2501"/>
      <c r="V570" s="2501"/>
      <c r="W570" s="2501"/>
      <c r="X570" s="2501"/>
      <c r="Y570" s="2501"/>
      <c r="Z570" s="2501"/>
      <c r="AA570" s="2501"/>
      <c r="AB570" s="2501"/>
      <c r="AC570" s="2501"/>
      <c r="AD570" s="2501"/>
      <c r="AE570" s="2501"/>
      <c r="AF570" s="2501"/>
      <c r="AG570" s="2501"/>
      <c r="AH570" s="2501"/>
      <c r="AI570" s="2501"/>
      <c r="AJ570" s="2501"/>
      <c r="AK570" s="642"/>
      <c r="AL570" s="573"/>
      <c r="AM570" s="603"/>
      <c r="AN570" s="597"/>
    </row>
    <row r="571" spans="1:42" ht="12.75" customHeight="1">
      <c r="A571" s="603"/>
      <c r="B571" s="2501"/>
      <c r="C571" s="2501"/>
      <c r="D571" s="2501"/>
      <c r="E571" s="2501"/>
      <c r="F571" s="2501"/>
      <c r="G571" s="2501"/>
      <c r="H571" s="2501"/>
      <c r="I571" s="2501"/>
      <c r="J571" s="2501"/>
      <c r="K571" s="2501"/>
      <c r="L571" s="2501"/>
      <c r="M571" s="2501"/>
      <c r="N571" s="2501"/>
      <c r="O571" s="2501"/>
      <c r="P571" s="2501"/>
      <c r="Q571" s="2501"/>
      <c r="R571" s="2501"/>
      <c r="S571" s="2501"/>
      <c r="T571" s="2501"/>
      <c r="U571" s="2501"/>
      <c r="V571" s="2501"/>
      <c r="W571" s="2501"/>
      <c r="X571" s="2501"/>
      <c r="Y571" s="2501"/>
      <c r="Z571" s="2501"/>
      <c r="AA571" s="2501"/>
      <c r="AB571" s="2501"/>
      <c r="AC571" s="2501"/>
      <c r="AD571" s="2501"/>
      <c r="AE571" s="2501"/>
      <c r="AF571" s="2501"/>
      <c r="AG571" s="2501"/>
      <c r="AH571" s="2501"/>
      <c r="AI571" s="2501"/>
      <c r="AJ571" s="2501"/>
      <c r="AK571" s="642"/>
      <c r="AL571" s="573"/>
      <c r="AM571" s="603"/>
    </row>
    <row r="572" spans="1:42" s="550" customFormat="1" ht="12.75" customHeight="1">
      <c r="B572" s="2501"/>
      <c r="C572" s="2501"/>
      <c r="D572" s="2501"/>
      <c r="E572" s="2501"/>
      <c r="F572" s="2501"/>
      <c r="G572" s="2501"/>
      <c r="H572" s="2501"/>
      <c r="I572" s="2501"/>
      <c r="J572" s="2501"/>
      <c r="K572" s="2501"/>
      <c r="L572" s="2501"/>
      <c r="M572" s="2501"/>
      <c r="N572" s="2501"/>
      <c r="O572" s="2501"/>
      <c r="P572" s="2501"/>
      <c r="Q572" s="2501"/>
      <c r="R572" s="2501"/>
      <c r="S572" s="2501"/>
      <c r="T572" s="2501"/>
      <c r="U572" s="2501"/>
      <c r="V572" s="2501"/>
      <c r="W572" s="2501"/>
      <c r="X572" s="2501"/>
      <c r="Y572" s="2501"/>
      <c r="Z572" s="2501"/>
      <c r="AA572" s="2501"/>
      <c r="AB572" s="2501"/>
      <c r="AC572" s="2501"/>
      <c r="AD572" s="2501"/>
      <c r="AE572" s="2501"/>
      <c r="AF572" s="2501"/>
      <c r="AG572" s="2501"/>
      <c r="AH572" s="2501"/>
      <c r="AI572" s="2501"/>
      <c r="AJ572" s="2501"/>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6" t="s">
        <v>1337</v>
      </c>
      <c r="AG578" s="2446"/>
      <c r="AH578" s="2446"/>
      <c r="AI578" s="2446"/>
      <c r="AJ578" s="2446"/>
      <c r="AK578" s="2446"/>
      <c r="AL578" s="2446"/>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0"/>
      <c r="D585" s="663" t="s">
        <v>509</v>
      </c>
      <c r="E585" s="838" t="s">
        <v>1703</v>
      </c>
      <c r="F585" s="931"/>
      <c r="G585" s="931"/>
      <c r="H585" s="931"/>
      <c r="I585" s="931"/>
      <c r="J585" s="931"/>
      <c r="K585" s="931"/>
      <c r="L585" s="931"/>
      <c r="M585" s="931"/>
      <c r="N585" s="931"/>
      <c r="O585" s="931"/>
      <c r="P585" s="931"/>
      <c r="Q585" s="931"/>
      <c r="R585" s="931"/>
      <c r="S585" s="931"/>
      <c r="T585" s="931"/>
      <c r="U585" s="931"/>
      <c r="V585" s="931"/>
      <c r="W585" s="931"/>
      <c r="X585" s="931"/>
      <c r="Y585" s="931"/>
      <c r="Z585" s="931"/>
      <c r="AA585" s="931"/>
      <c r="AB585" s="931"/>
      <c r="AC585" s="536"/>
      <c r="AD585" s="536"/>
      <c r="AE585" s="536"/>
      <c r="AF585" s="2446" t="s">
        <v>1395</v>
      </c>
      <c r="AG585" s="2446"/>
      <c r="AH585" s="2446"/>
      <c r="AI585" s="2446"/>
      <c r="AJ585" s="2446"/>
      <c r="AK585" s="2446"/>
      <c r="AL585" s="2446"/>
      <c r="AN585" s="597"/>
    </row>
    <row r="586" spans="1:42" s="550" customFormat="1" ht="12.75" customHeight="1">
      <c r="B586" s="536"/>
      <c r="C586" s="932"/>
      <c r="D586" s="663"/>
      <c r="E586" s="838" t="s">
        <v>1704</v>
      </c>
      <c r="F586" s="931"/>
      <c r="G586" s="931"/>
      <c r="H586" s="931"/>
      <c r="I586" s="931"/>
      <c r="J586" s="931"/>
      <c r="K586" s="931"/>
      <c r="L586" s="931"/>
      <c r="M586" s="931"/>
      <c r="N586" s="931"/>
      <c r="O586" s="931"/>
      <c r="P586" s="931"/>
      <c r="Q586" s="931"/>
      <c r="R586" s="931"/>
      <c r="S586" s="931"/>
      <c r="T586" s="931"/>
      <c r="U586" s="931"/>
      <c r="V586" s="931"/>
      <c r="W586" s="931"/>
      <c r="X586" s="931"/>
      <c r="Y586" s="931"/>
      <c r="Z586" s="931"/>
      <c r="AA586" s="931"/>
      <c r="AB586" s="931"/>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0"/>
      <c r="D587" s="663"/>
      <c r="E587" s="838" t="s">
        <v>1705</v>
      </c>
      <c r="F587" s="931"/>
      <c r="G587" s="931"/>
      <c r="H587" s="931"/>
      <c r="I587" s="931"/>
      <c r="J587" s="931"/>
      <c r="K587" s="931"/>
      <c r="L587" s="931"/>
      <c r="M587" s="931"/>
      <c r="N587" s="931"/>
      <c r="O587" s="931"/>
      <c r="P587" s="931"/>
      <c r="Q587" s="931"/>
      <c r="R587" s="931"/>
      <c r="S587" s="931"/>
      <c r="T587" s="931"/>
      <c r="U587" s="931"/>
      <c r="V587" s="931"/>
      <c r="W587" s="931"/>
      <c r="X587" s="931"/>
      <c r="Y587" s="931"/>
      <c r="Z587" s="931"/>
      <c r="AA587" s="931"/>
      <c r="AB587" s="931"/>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0"/>
      <c r="D588" s="663"/>
      <c r="E588" s="838" t="s">
        <v>1707</v>
      </c>
      <c r="F588" s="931"/>
      <c r="G588" s="931"/>
      <c r="H588" s="931"/>
      <c r="I588" s="931"/>
      <c r="J588" s="931"/>
      <c r="K588" s="931"/>
      <c r="L588" s="931"/>
      <c r="M588" s="931"/>
      <c r="N588" s="931"/>
      <c r="O588" s="931"/>
      <c r="P588" s="931"/>
      <c r="Q588" s="931"/>
      <c r="R588" s="931"/>
      <c r="S588" s="931"/>
      <c r="T588" s="931"/>
      <c r="U588" s="931"/>
      <c r="V588" s="931"/>
      <c r="W588" s="931"/>
      <c r="X588" s="931"/>
      <c r="Y588" s="931"/>
      <c r="Z588" s="931"/>
      <c r="AA588" s="931"/>
      <c r="AB588" s="931"/>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0"/>
      <c r="D589" s="663"/>
      <c r="E589" s="838" t="s">
        <v>1706</v>
      </c>
      <c r="F589" s="931"/>
      <c r="G589" s="931"/>
      <c r="H589" s="931"/>
      <c r="I589" s="931"/>
      <c r="J589" s="931"/>
      <c r="K589" s="931"/>
      <c r="L589" s="931"/>
      <c r="M589" s="931"/>
      <c r="N589" s="931"/>
      <c r="O589" s="931"/>
      <c r="P589" s="931"/>
      <c r="Q589" s="931"/>
      <c r="R589" s="931"/>
      <c r="S589" s="931"/>
      <c r="T589" s="931"/>
      <c r="U589" s="931"/>
      <c r="V589" s="931"/>
      <c r="W589" s="931"/>
      <c r="X589" s="931"/>
      <c r="Y589" s="931"/>
      <c r="Z589" s="931"/>
      <c r="AA589" s="931"/>
      <c r="AB589" s="931"/>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0"/>
      <c r="D590" s="663"/>
      <c r="E590" s="933"/>
      <c r="F590" s="934"/>
      <c r="G590" s="934"/>
      <c r="H590" s="934"/>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0"/>
      <c r="D591" s="663" t="s">
        <v>278</v>
      </c>
      <c r="E591" s="838" t="s">
        <v>1708</v>
      </c>
      <c r="F591" s="931"/>
      <c r="G591" s="931"/>
      <c r="H591" s="931"/>
      <c r="I591" s="931"/>
      <c r="J591" s="931"/>
      <c r="K591" s="931"/>
      <c r="L591" s="931"/>
      <c r="M591" s="931"/>
      <c r="N591" s="931"/>
      <c r="O591" s="931"/>
      <c r="P591" s="931"/>
      <c r="Q591" s="931"/>
      <c r="R591" s="931"/>
      <c r="S591" s="931"/>
      <c r="T591" s="931"/>
      <c r="U591" s="931"/>
      <c r="V591" s="931"/>
      <c r="W591" s="931"/>
      <c r="X591" s="931"/>
      <c r="Y591" s="931"/>
      <c r="Z591" s="931"/>
      <c r="AA591" s="931"/>
      <c r="AB591" s="931"/>
      <c r="AC591" s="536"/>
      <c r="AD591" s="536"/>
      <c r="AE591" s="536"/>
      <c r="AF591" s="2446" t="s">
        <v>1377</v>
      </c>
      <c r="AG591" s="2446"/>
      <c r="AH591" s="2446"/>
      <c r="AI591" s="2446"/>
      <c r="AJ591" s="2446"/>
      <c r="AK591" s="2446"/>
      <c r="AL591" s="2446"/>
      <c r="AN591" s="597"/>
      <c r="AO591" s="611" t="s">
        <v>1397</v>
      </c>
      <c r="AP591" s="550">
        <v>3</v>
      </c>
    </row>
    <row r="592" spans="1:42" s="550" customFormat="1" ht="12.75" customHeight="1">
      <c r="B592" s="536"/>
      <c r="C592" s="932"/>
      <c r="D592" s="663"/>
      <c r="E592" s="838" t="s">
        <v>1704</v>
      </c>
      <c r="F592" s="931"/>
      <c r="G592" s="931"/>
      <c r="H592" s="931"/>
      <c r="I592" s="931"/>
      <c r="J592" s="931"/>
      <c r="K592" s="931"/>
      <c r="L592" s="931"/>
      <c r="M592" s="931"/>
      <c r="N592" s="931"/>
      <c r="O592" s="931"/>
      <c r="P592" s="931"/>
      <c r="Q592" s="931"/>
      <c r="R592" s="931"/>
      <c r="S592" s="931"/>
      <c r="T592" s="931"/>
      <c r="U592" s="931"/>
      <c r="V592" s="931"/>
      <c r="W592" s="931"/>
      <c r="X592" s="931"/>
      <c r="Y592" s="931"/>
      <c r="Z592" s="931"/>
      <c r="AA592" s="931"/>
      <c r="AB592" s="931"/>
      <c r="AC592" s="536"/>
      <c r="AD592" s="536"/>
      <c r="AE592" s="536"/>
      <c r="AF592" s="536"/>
      <c r="AG592" s="536"/>
      <c r="AH592" s="536"/>
      <c r="AI592" s="536"/>
      <c r="AJ592" s="536"/>
      <c r="AK592" s="536"/>
      <c r="AL592" s="536"/>
      <c r="AN592" s="597"/>
    </row>
    <row r="593" spans="1:53" s="550" customFormat="1" ht="12.75" customHeight="1">
      <c r="B593" s="536"/>
      <c r="C593" s="932"/>
      <c r="D593" s="663"/>
      <c r="E593" s="838" t="s">
        <v>1705</v>
      </c>
      <c r="F593" s="931"/>
      <c r="G593" s="931"/>
      <c r="H593" s="931"/>
      <c r="I593" s="931"/>
      <c r="J593" s="931"/>
      <c r="K593" s="931"/>
      <c r="L593" s="931"/>
      <c r="M593" s="931"/>
      <c r="N593" s="931"/>
      <c r="O593" s="931"/>
      <c r="P593" s="931"/>
      <c r="Q593" s="931"/>
      <c r="R593" s="931"/>
      <c r="S593" s="931"/>
      <c r="T593" s="931"/>
      <c r="U593" s="931"/>
      <c r="V593" s="931"/>
      <c r="W593" s="931"/>
      <c r="X593" s="931"/>
      <c r="Y593" s="931"/>
      <c r="Z593" s="931"/>
      <c r="AA593" s="931"/>
      <c r="AB593" s="931"/>
      <c r="AC593" s="536"/>
      <c r="AD593" s="536"/>
      <c r="AE593" s="536"/>
      <c r="AF593" s="536"/>
      <c r="AG593" s="536"/>
      <c r="AH593" s="536"/>
      <c r="AI593" s="536"/>
      <c r="AJ593" s="536"/>
      <c r="AK593" s="536"/>
      <c r="AL593" s="536"/>
      <c r="AN593" s="597"/>
      <c r="AO593" s="22" t="s">
        <v>2177</v>
      </c>
    </row>
    <row r="594" spans="1:53" s="550" customFormat="1" ht="12.75" customHeight="1">
      <c r="B594" s="536"/>
      <c r="C594" s="932"/>
      <c r="D594" s="663"/>
      <c r="E594" s="838" t="s">
        <v>1707</v>
      </c>
      <c r="F594" s="931"/>
      <c r="G594" s="931"/>
      <c r="H594" s="931"/>
      <c r="I594" s="931"/>
      <c r="J594" s="931"/>
      <c r="K594" s="931"/>
      <c r="L594" s="931"/>
      <c r="M594" s="931"/>
      <c r="N594" s="931"/>
      <c r="O594" s="931"/>
      <c r="P594" s="931"/>
      <c r="Q594" s="931"/>
      <c r="R594" s="931"/>
      <c r="S594" s="931"/>
      <c r="T594" s="931"/>
      <c r="U594" s="931"/>
      <c r="V594" s="931"/>
      <c r="W594" s="931"/>
      <c r="X594" s="931"/>
      <c r="Y594" s="931"/>
      <c r="Z594" s="931"/>
      <c r="AA594" s="931"/>
      <c r="AB594" s="931"/>
      <c r="AC594" s="536"/>
      <c r="AD594" s="536"/>
      <c r="AE594" s="536"/>
      <c r="AF594" s="536"/>
      <c r="AG594" s="536"/>
      <c r="AH594" s="536"/>
      <c r="AI594" s="536"/>
      <c r="AJ594" s="536"/>
      <c r="AK594" s="536"/>
      <c r="AL594" s="536"/>
      <c r="AN594" s="597"/>
      <c r="AO594" s="22" t="s">
        <v>2178</v>
      </c>
    </row>
    <row r="595" spans="1:53" s="550" customFormat="1" ht="12.75" customHeight="1">
      <c r="B595" s="536"/>
      <c r="C595" s="932"/>
      <c r="D595" s="663"/>
      <c r="E595" s="838" t="s">
        <v>1706</v>
      </c>
      <c r="F595" s="931"/>
      <c r="G595" s="931"/>
      <c r="H595" s="931"/>
      <c r="I595" s="931"/>
      <c r="J595" s="931"/>
      <c r="K595" s="931"/>
      <c r="L595" s="931"/>
      <c r="M595" s="931"/>
      <c r="N595" s="931"/>
      <c r="O595" s="931"/>
      <c r="P595" s="931"/>
      <c r="Q595" s="931"/>
      <c r="R595" s="931"/>
      <c r="S595" s="931"/>
      <c r="T595" s="931"/>
      <c r="U595" s="931"/>
      <c r="V595" s="931"/>
      <c r="W595" s="931"/>
      <c r="X595" s="931"/>
      <c r="Y595" s="931"/>
      <c r="Z595" s="931"/>
      <c r="AA595" s="931"/>
      <c r="AB595" s="931"/>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0"/>
      <c r="D597" s="663" t="s">
        <v>1396</v>
      </c>
      <c r="E597" s="838" t="s">
        <v>1709</v>
      </c>
      <c r="F597" s="931"/>
      <c r="G597" s="931"/>
      <c r="H597" s="931"/>
      <c r="I597" s="931"/>
      <c r="J597" s="931"/>
      <c r="K597" s="931"/>
      <c r="L597" s="931"/>
      <c r="M597" s="931"/>
      <c r="N597" s="931"/>
      <c r="O597" s="931"/>
      <c r="P597" s="931"/>
      <c r="Q597" s="931"/>
      <c r="R597" s="931"/>
      <c r="S597" s="931"/>
      <c r="T597" s="931"/>
      <c r="U597" s="931"/>
      <c r="V597" s="931"/>
      <c r="W597" s="931"/>
      <c r="X597" s="931"/>
      <c r="Y597" s="931"/>
      <c r="Z597" s="931"/>
      <c r="AA597" s="931"/>
      <c r="AB597" s="931"/>
      <c r="AC597" s="536"/>
      <c r="AD597" s="536"/>
      <c r="AE597" s="536"/>
      <c r="AF597" s="2446" t="s">
        <v>1398</v>
      </c>
      <c r="AG597" s="2446"/>
      <c r="AH597" s="2446"/>
      <c r="AI597" s="2446"/>
      <c r="AJ597" s="2446"/>
      <c r="AK597" s="2446"/>
      <c r="AL597" s="2446"/>
      <c r="AN597" s="597"/>
      <c r="AO597" s="550" t="str">
        <f>X634</f>
        <v>N/A</v>
      </c>
    </row>
    <row r="598" spans="1:53" s="550" customFormat="1" ht="12.75" customHeight="1">
      <c r="B598" s="536"/>
      <c r="C598" s="932"/>
      <c r="D598" s="663"/>
      <c r="E598" s="838" t="s">
        <v>1710</v>
      </c>
      <c r="F598" s="931"/>
      <c r="G598" s="931"/>
      <c r="H598" s="931"/>
      <c r="I598" s="931"/>
      <c r="J598" s="931"/>
      <c r="K598" s="931"/>
      <c r="L598" s="931"/>
      <c r="M598" s="931"/>
      <c r="N598" s="931"/>
      <c r="O598" s="931"/>
      <c r="P598" s="931"/>
      <c r="Q598" s="931"/>
      <c r="R598" s="931"/>
      <c r="S598" s="931"/>
      <c r="T598" s="931"/>
      <c r="U598" s="931"/>
      <c r="V598" s="931"/>
      <c r="W598" s="931"/>
      <c r="X598" s="931"/>
      <c r="Y598" s="931"/>
      <c r="Z598" s="931"/>
      <c r="AA598" s="931"/>
      <c r="AB598" s="931"/>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0"/>
      <c r="D599" s="663"/>
      <c r="E599" s="838" t="s">
        <v>1711</v>
      </c>
      <c r="F599" s="931"/>
      <c r="G599" s="931"/>
      <c r="H599" s="931"/>
      <c r="I599" s="931"/>
      <c r="J599" s="931"/>
      <c r="K599" s="931"/>
      <c r="L599" s="931"/>
      <c r="M599" s="931"/>
      <c r="N599" s="931"/>
      <c r="O599" s="931"/>
      <c r="P599" s="931"/>
      <c r="Q599" s="931"/>
      <c r="R599" s="931"/>
      <c r="S599" s="931"/>
      <c r="T599" s="931"/>
      <c r="U599" s="931"/>
      <c r="V599" s="931"/>
      <c r="W599" s="931"/>
      <c r="X599" s="931"/>
      <c r="Y599" s="931"/>
      <c r="Z599" s="931"/>
      <c r="AA599" s="931"/>
      <c r="AB599" s="931"/>
      <c r="AC599" s="536"/>
      <c r="AD599" s="536"/>
      <c r="AE599" s="536"/>
      <c r="AF599" s="536"/>
      <c r="AG599" s="536"/>
      <c r="AH599" s="536"/>
      <c r="AI599" s="536"/>
      <c r="AJ599" s="536"/>
      <c r="AK599" s="536"/>
      <c r="AL599" s="536"/>
      <c r="AN599" s="597"/>
      <c r="AO599" s="22" t="s">
        <v>2180</v>
      </c>
    </row>
    <row r="600" spans="1:53" s="550" customFormat="1" ht="12.75" customHeight="1">
      <c r="B600" s="610"/>
      <c r="C600" s="930"/>
      <c r="D600" s="663"/>
      <c r="E600" s="838"/>
      <c r="F600" s="931"/>
      <c r="G600" s="931"/>
      <c r="H600" s="931"/>
      <c r="I600" s="931"/>
      <c r="J600" s="931"/>
      <c r="K600" s="931"/>
      <c r="L600" s="931"/>
      <c r="M600" s="931"/>
      <c r="N600" s="931"/>
      <c r="O600" s="931"/>
      <c r="P600" s="931"/>
      <c r="Q600" s="931"/>
      <c r="R600" s="931"/>
      <c r="S600" s="931"/>
      <c r="T600" s="931"/>
      <c r="U600" s="931"/>
      <c r="V600" s="931"/>
      <c r="W600" s="931"/>
      <c r="X600" s="931"/>
      <c r="Y600" s="931"/>
      <c r="Z600" s="931"/>
      <c r="AA600" s="931"/>
      <c r="AB600" s="931"/>
      <c r="AC600" s="536"/>
      <c r="AD600" s="536"/>
      <c r="AE600" s="536"/>
      <c r="AF600" s="536"/>
      <c r="AG600" s="536"/>
      <c r="AH600" s="536"/>
      <c r="AI600" s="536"/>
      <c r="AJ600" s="536"/>
      <c r="AK600" s="536"/>
      <c r="AL600" s="536"/>
      <c r="AN600" s="597"/>
      <c r="AO600" s="22" t="s">
        <v>2181</v>
      </c>
    </row>
    <row r="601" spans="1:53" s="550" customFormat="1" ht="12.75" customHeight="1">
      <c r="B601" s="610"/>
      <c r="C601" s="930"/>
      <c r="D601" s="663"/>
      <c r="E601" s="536" t="s">
        <v>1865</v>
      </c>
      <c r="O601" s="2532" t="s">
        <v>1183</v>
      </c>
      <c r="P601" s="2532"/>
      <c r="Q601" s="2532"/>
      <c r="R601" s="2532"/>
      <c r="S601" s="2532"/>
      <c r="T601" s="2532"/>
      <c r="U601" s="2532"/>
      <c r="V601" s="2532"/>
      <c r="W601" s="2532"/>
      <c r="X601" s="2532"/>
      <c r="Y601" s="2532"/>
      <c r="Z601" s="2532"/>
      <c r="AA601" s="2532"/>
      <c r="AB601" s="2532"/>
      <c r="AH601" s="536"/>
      <c r="AI601" s="536"/>
      <c r="AJ601" s="536"/>
      <c r="AK601" s="536"/>
      <c r="AL601" s="536"/>
      <c r="AN601" s="597"/>
    </row>
    <row r="602" spans="1:53" s="550" customFormat="1" ht="12.75" customHeight="1">
      <c r="B602" s="610"/>
      <c r="C602" s="930"/>
      <c r="D602" s="663"/>
      <c r="E602" s="838"/>
      <c r="F602" s="931"/>
      <c r="G602" s="931"/>
      <c r="H602" s="931"/>
      <c r="I602" s="931"/>
      <c r="J602" s="931"/>
      <c r="K602" s="931"/>
      <c r="L602" s="931"/>
      <c r="M602" s="931"/>
      <c r="N602" s="931"/>
      <c r="O602" s="931"/>
      <c r="P602" s="931"/>
      <c r="Q602" s="931"/>
      <c r="R602" s="931"/>
      <c r="S602" s="931"/>
      <c r="T602" s="931"/>
      <c r="U602" s="931"/>
      <c r="V602" s="931"/>
      <c r="W602" s="931"/>
      <c r="X602" s="931"/>
      <c r="Y602" s="931"/>
      <c r="Z602" s="931"/>
      <c r="AA602" s="931"/>
      <c r="AB602" s="931"/>
      <c r="AC602" s="536"/>
      <c r="AD602" s="536"/>
      <c r="AE602" s="536"/>
      <c r="AF602" s="536"/>
      <c r="AG602" s="536"/>
      <c r="AH602" s="536"/>
      <c r="AI602" s="536"/>
      <c r="AJ602" s="536"/>
      <c r="AK602" s="536"/>
      <c r="AL602" s="536"/>
      <c r="AN602" s="597"/>
    </row>
    <row r="603" spans="1:53" s="550" customFormat="1" ht="12.75" customHeight="1">
      <c r="B603" s="536"/>
      <c r="C603" s="930"/>
      <c r="D603" s="663" t="s">
        <v>1397</v>
      </c>
      <c r="E603" s="838" t="s">
        <v>1713</v>
      </c>
      <c r="F603" s="931"/>
      <c r="G603" s="931"/>
      <c r="H603" s="931"/>
      <c r="I603" s="931"/>
      <c r="J603" s="931"/>
      <c r="K603" s="931"/>
      <c r="L603" s="931"/>
      <c r="M603" s="931"/>
      <c r="N603" s="931"/>
      <c r="O603" s="931"/>
      <c r="P603" s="931"/>
      <c r="Q603" s="931"/>
      <c r="R603" s="931"/>
      <c r="S603" s="931"/>
      <c r="T603" s="931"/>
      <c r="U603" s="931"/>
      <c r="V603" s="931"/>
      <c r="W603" s="931"/>
      <c r="X603" s="931"/>
      <c r="Y603" s="931"/>
      <c r="Z603" s="931"/>
      <c r="AA603" s="931"/>
      <c r="AB603" s="931"/>
      <c r="AC603" s="536"/>
      <c r="AD603" s="536"/>
      <c r="AE603" s="536"/>
      <c r="AF603" s="2446" t="s">
        <v>1351</v>
      </c>
      <c r="AG603" s="2446"/>
      <c r="AH603" s="2446"/>
      <c r="AI603" s="2446"/>
      <c r="AJ603" s="2446"/>
      <c r="AK603" s="2446"/>
      <c r="AL603" s="2446"/>
      <c r="AN603" s="597"/>
    </row>
    <row r="604" spans="1:53" s="550" customFormat="1" ht="12.75" customHeight="1">
      <c r="B604" s="536"/>
      <c r="C604" s="930"/>
      <c r="D604" s="663"/>
      <c r="E604" s="838" t="s">
        <v>1712</v>
      </c>
      <c r="F604" s="931"/>
      <c r="G604" s="931"/>
      <c r="H604" s="931"/>
      <c r="I604" s="931"/>
      <c r="J604" s="931"/>
      <c r="K604" s="931"/>
      <c r="L604" s="931"/>
      <c r="M604" s="931"/>
      <c r="N604" s="931"/>
      <c r="O604" s="931"/>
      <c r="P604" s="931"/>
      <c r="Q604" s="931"/>
      <c r="R604" s="931"/>
      <c r="S604" s="931"/>
      <c r="T604" s="931"/>
      <c r="U604" s="931"/>
      <c r="V604" s="931"/>
      <c r="W604" s="931"/>
      <c r="X604" s="931"/>
      <c r="Y604" s="931"/>
      <c r="Z604" s="931"/>
      <c r="AA604" s="931"/>
      <c r="AB604" s="931"/>
      <c r="AC604" s="536"/>
      <c r="AD604" s="536"/>
      <c r="AE604" s="594"/>
      <c r="AF604" s="536"/>
      <c r="AG604" s="536"/>
      <c r="AH604" s="536"/>
      <c r="AI604" s="536"/>
      <c r="AJ604" s="536"/>
      <c r="AK604" s="536"/>
      <c r="AL604" s="536"/>
      <c r="AN604" s="597"/>
    </row>
    <row r="605" spans="1:53" s="550" customFormat="1" ht="12.75" customHeight="1">
      <c r="B605" s="536"/>
      <c r="C605" s="932"/>
      <c r="D605" s="536"/>
      <c r="E605" s="616"/>
      <c r="F605" s="935"/>
      <c r="G605" s="935"/>
      <c r="H605" s="935"/>
      <c r="I605" s="935"/>
      <c r="J605" s="935"/>
      <c r="K605" s="935"/>
      <c r="L605" s="935"/>
      <c r="M605" s="935"/>
      <c r="N605" s="935"/>
      <c r="O605" s="935"/>
      <c r="P605" s="935"/>
      <c r="Q605" s="935"/>
      <c r="R605" s="935"/>
      <c r="S605" s="935"/>
      <c r="T605" s="935"/>
      <c r="U605" s="935"/>
      <c r="V605" s="935"/>
      <c r="W605" s="935"/>
      <c r="X605" s="935"/>
      <c r="Y605" s="935"/>
      <c r="Z605" s="935"/>
      <c r="AA605" s="935"/>
      <c r="AB605" s="935"/>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2"/>
      <c r="D606" s="536" t="s">
        <v>1399</v>
      </c>
      <c r="E606" s="935"/>
      <c r="F606" s="935"/>
      <c r="G606" s="935"/>
      <c r="H606" s="2530" t="s">
        <v>687</v>
      </c>
      <c r="I606" s="2530"/>
      <c r="J606" s="935"/>
      <c r="K606" s="935"/>
      <c r="L606" s="935"/>
      <c r="N606" s="22"/>
      <c r="O606" s="22"/>
      <c r="P606" s="22"/>
      <c r="Q606" s="1150" t="s">
        <v>2176</v>
      </c>
      <c r="R606" s="2533"/>
      <c r="S606" s="2533"/>
      <c r="T606" s="2533"/>
      <c r="U606" s="2533"/>
      <c r="V606" s="2533"/>
      <c r="W606" s="2533"/>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2"/>
      <c r="D607" s="536"/>
      <c r="E607" s="935"/>
      <c r="F607" s="935"/>
      <c r="G607" s="935"/>
      <c r="H607" s="935"/>
      <c r="I607" s="935"/>
      <c r="J607" s="935"/>
      <c r="K607" s="935"/>
      <c r="L607" s="935"/>
      <c r="M607" s="935"/>
      <c r="N607" s="536"/>
      <c r="O607" s="536"/>
      <c r="P607" s="536"/>
      <c r="Q607" s="536"/>
      <c r="R607" s="536"/>
      <c r="S607" s="536"/>
      <c r="T607" s="536"/>
      <c r="U607" s="536"/>
      <c r="V607" s="536"/>
      <c r="W607" s="536"/>
      <c r="X607" s="536"/>
      <c r="Y607" s="2534" t="str">
        <f>IF(AND(H606="(i)",NOT(AP582)),AO599,IF(AND(H606="(iv)",OR(R606=AO595,R606=AO594),NOT(AP583)),AO600,""))</f>
        <v/>
      </c>
      <c r="Z607" s="2534"/>
      <c r="AA607" s="2534"/>
      <c r="AB607" s="2534"/>
      <c r="AC607" s="2534"/>
      <c r="AD607" s="2534"/>
      <c r="AE607" s="2534"/>
      <c r="AF607" s="2534"/>
      <c r="AG607" s="2534"/>
      <c r="AH607" s="2534"/>
      <c r="AI607" s="2534"/>
      <c r="AJ607" s="2534"/>
      <c r="AK607" s="2534"/>
      <c r="AL607" s="2534"/>
      <c r="AM607" s="2535"/>
      <c r="AN607" s="597"/>
      <c r="AO607" s="611" t="s">
        <v>509</v>
      </c>
      <c r="AP607" s="550">
        <v>2</v>
      </c>
      <c r="AT607" s="611" t="s">
        <v>509</v>
      </c>
      <c r="AU607" s="550">
        <v>2</v>
      </c>
    </row>
    <row r="608" spans="1:53" s="550" customFormat="1" ht="12.75" customHeight="1">
      <c r="B608" s="536"/>
      <c r="C608" s="932"/>
      <c r="D608" s="536"/>
      <c r="E608" s="935"/>
      <c r="F608" s="935"/>
      <c r="G608" s="935"/>
      <c r="H608" s="935"/>
      <c r="I608" s="935"/>
      <c r="J608" s="935"/>
      <c r="K608" s="935"/>
      <c r="L608" s="935"/>
      <c r="M608" s="935"/>
      <c r="N608" s="536"/>
      <c r="O608" s="536"/>
      <c r="P608" s="536"/>
      <c r="Q608" s="536"/>
      <c r="X608" s="536"/>
      <c r="Y608" s="2534"/>
      <c r="Z608" s="2534"/>
      <c r="AA608" s="2534"/>
      <c r="AB608" s="2534"/>
      <c r="AC608" s="2534"/>
      <c r="AD608" s="2534"/>
      <c r="AE608" s="2534"/>
      <c r="AF608" s="2534"/>
      <c r="AG608" s="2534"/>
      <c r="AH608" s="2534"/>
      <c r="AI608" s="2534"/>
      <c r="AJ608" s="2534"/>
      <c r="AK608" s="2534"/>
      <c r="AL608" s="2534"/>
      <c r="AM608" s="2535"/>
      <c r="AN608" s="597"/>
      <c r="AO608" s="611"/>
      <c r="AT608" s="611"/>
    </row>
    <row r="609" spans="1:42" s="550" customFormat="1" ht="12.75" customHeight="1">
      <c r="B609" s="536"/>
      <c r="C609" s="932"/>
      <c r="D609" s="536" t="s">
        <v>1714</v>
      </c>
      <c r="E609" s="935"/>
      <c r="F609" s="935"/>
      <c r="G609" s="935"/>
      <c r="H609" s="935"/>
      <c r="I609" s="935"/>
      <c r="J609" s="935"/>
      <c r="K609" s="935"/>
      <c r="L609" s="935"/>
      <c r="M609" s="935"/>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2"/>
      <c r="D610" s="536" t="s">
        <v>1715</v>
      </c>
      <c r="E610" s="935"/>
      <c r="F610" s="935"/>
      <c r="G610" s="935"/>
      <c r="H610" s="935"/>
      <c r="I610" s="935"/>
      <c r="J610" s="935"/>
      <c r="K610" s="935"/>
      <c r="L610" s="935"/>
      <c r="M610" s="935"/>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2"/>
      <c r="D611" s="536" t="s">
        <v>1716</v>
      </c>
      <c r="E611" s="935"/>
      <c r="F611" s="935"/>
      <c r="G611" s="935"/>
      <c r="H611" s="935"/>
      <c r="I611" s="935"/>
      <c r="J611" s="935"/>
      <c r="K611" s="935"/>
      <c r="L611" s="935"/>
      <c r="M611" s="935"/>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2"/>
      <c r="D612" s="605" t="s">
        <v>1717</v>
      </c>
      <c r="E612" s="935"/>
      <c r="F612" s="935"/>
      <c r="G612" s="935"/>
      <c r="H612" s="935"/>
      <c r="I612" s="935"/>
      <c r="J612" s="935"/>
      <c r="K612" s="935"/>
      <c r="L612" s="935"/>
      <c r="M612" s="935"/>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2"/>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2"/>
      <c r="D614" s="536"/>
      <c r="E614" s="536" t="s">
        <v>1399</v>
      </c>
      <c r="F614" s="935"/>
      <c r="G614" s="935"/>
      <c r="I614" s="2531" t="s">
        <v>591</v>
      </c>
      <c r="J614" s="2531"/>
      <c r="K614" s="2531"/>
      <c r="L614" s="2531"/>
      <c r="M614" s="2531"/>
      <c r="N614" s="2531"/>
      <c r="O614" s="2531"/>
      <c r="P614" s="2531"/>
      <c r="Q614" s="2531"/>
      <c r="R614" s="2531"/>
      <c r="S614" s="2531"/>
      <c r="T614" s="2531"/>
      <c r="U614" s="2531"/>
      <c r="V614" s="2531"/>
      <c r="W614" s="2531"/>
      <c r="X614" s="2531"/>
      <c r="Y614" s="2531"/>
      <c r="Z614" s="2531"/>
      <c r="AA614" s="2531"/>
      <c r="AB614" s="2531"/>
      <c r="AC614" s="2531"/>
      <c r="AD614" s="2531"/>
      <c r="AE614" s="2531"/>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474" t="s">
        <v>591</v>
      </c>
      <c r="C616" s="2474"/>
      <c r="D616" s="642"/>
      <c r="E616" s="2501" t="s">
        <v>1402</v>
      </c>
      <c r="F616" s="2501"/>
      <c r="G616" s="2501"/>
      <c r="H616" s="2501"/>
      <c r="I616" s="2501"/>
      <c r="J616" s="2501"/>
      <c r="K616" s="2501"/>
      <c r="L616" s="2501"/>
      <c r="M616" s="2501"/>
      <c r="N616" s="2501"/>
      <c r="O616" s="2501"/>
      <c r="P616" s="2501"/>
      <c r="Q616" s="2501"/>
      <c r="R616" s="2501"/>
      <c r="S616" s="2501"/>
      <c r="T616" s="2501"/>
      <c r="U616" s="2501"/>
      <c r="V616" s="2501"/>
      <c r="W616" s="2501"/>
      <c r="X616" s="2501"/>
      <c r="Y616" s="2501"/>
      <c r="Z616" s="2501"/>
      <c r="AA616" s="2501"/>
      <c r="AB616" s="2501"/>
      <c r="AC616" s="2501"/>
      <c r="AD616" s="2501"/>
      <c r="AE616" s="2501"/>
      <c r="AF616" s="2501"/>
      <c r="AG616" s="2501"/>
      <c r="AH616" s="642"/>
      <c r="AI616" s="642"/>
      <c r="AJ616" s="642"/>
      <c r="AK616" s="642"/>
      <c r="AL616" s="642"/>
      <c r="AN616" s="597"/>
    </row>
    <row r="617" spans="1:42" s="550" customFormat="1" ht="12.75" customHeight="1">
      <c r="B617" s="536"/>
      <c r="C617" s="932"/>
      <c r="D617" s="642"/>
      <c r="E617" s="2501"/>
      <c r="F617" s="2501"/>
      <c r="G617" s="2501"/>
      <c r="H617" s="2501"/>
      <c r="I617" s="2501"/>
      <c r="J617" s="2501"/>
      <c r="K617" s="2501"/>
      <c r="L617" s="2501"/>
      <c r="M617" s="2501"/>
      <c r="N617" s="2501"/>
      <c r="O617" s="2501"/>
      <c r="P617" s="2501"/>
      <c r="Q617" s="2501"/>
      <c r="R617" s="2501"/>
      <c r="S617" s="2501"/>
      <c r="T617" s="2501"/>
      <c r="U617" s="2501"/>
      <c r="V617" s="2501"/>
      <c r="W617" s="2501"/>
      <c r="X617" s="2501"/>
      <c r="Y617" s="2501"/>
      <c r="Z617" s="2501"/>
      <c r="AA617" s="2501"/>
      <c r="AB617" s="2501"/>
      <c r="AC617" s="2501"/>
      <c r="AD617" s="2501"/>
      <c r="AE617" s="2501"/>
      <c r="AF617" s="2501"/>
      <c r="AG617" s="2501"/>
      <c r="AH617" s="642"/>
      <c r="AI617" s="642"/>
      <c r="AJ617" s="642"/>
      <c r="AK617" s="642"/>
      <c r="AL617" s="642"/>
      <c r="AN617" s="597"/>
    </row>
    <row r="618" spans="1:42" s="550" customFormat="1" ht="12.75" customHeight="1">
      <c r="B618" s="536"/>
      <c r="C618" s="932"/>
      <c r="D618" s="642"/>
      <c r="E618" s="2501"/>
      <c r="F618" s="2501"/>
      <c r="G618" s="2501"/>
      <c r="H618" s="2501"/>
      <c r="I618" s="2501"/>
      <c r="J618" s="2501"/>
      <c r="K618" s="2501"/>
      <c r="L618" s="2501"/>
      <c r="M618" s="2501"/>
      <c r="N618" s="2501"/>
      <c r="O618" s="2501"/>
      <c r="P618" s="2501"/>
      <c r="Q618" s="2501"/>
      <c r="R618" s="2501"/>
      <c r="S618" s="2501"/>
      <c r="T618" s="2501"/>
      <c r="U618" s="2501"/>
      <c r="V618" s="2501"/>
      <c r="W618" s="2501"/>
      <c r="X618" s="2501"/>
      <c r="Y618" s="2501"/>
      <c r="Z618" s="2501"/>
      <c r="AA618" s="2501"/>
      <c r="AB618" s="2501"/>
      <c r="AC618" s="2501"/>
      <c r="AD618" s="2501"/>
      <c r="AE618" s="2501"/>
      <c r="AF618" s="2501"/>
      <c r="AG618" s="2501"/>
      <c r="AH618" s="642"/>
      <c r="AI618" s="642"/>
      <c r="AJ618" s="642"/>
      <c r="AK618" s="642"/>
      <c r="AL618" s="642"/>
      <c r="AN618" s="597"/>
    </row>
    <row r="619" spans="1:42" s="550" customFormat="1" ht="12.75" customHeight="1">
      <c r="B619" s="536"/>
      <c r="C619" s="932"/>
      <c r="D619" s="642"/>
      <c r="E619" s="2501"/>
      <c r="F619" s="2501"/>
      <c r="G619" s="2501"/>
      <c r="H619" s="2501"/>
      <c r="I619" s="2501"/>
      <c r="J619" s="2501"/>
      <c r="K619" s="2501"/>
      <c r="L619" s="2501"/>
      <c r="M619" s="2501"/>
      <c r="N619" s="2501"/>
      <c r="O619" s="2501"/>
      <c r="P619" s="2501"/>
      <c r="Q619" s="2501"/>
      <c r="R619" s="2501"/>
      <c r="S619" s="2501"/>
      <c r="T619" s="2501"/>
      <c r="U619" s="2501"/>
      <c r="V619" s="2501"/>
      <c r="W619" s="2501"/>
      <c r="X619" s="2501"/>
      <c r="Y619" s="2501"/>
      <c r="Z619" s="2501"/>
      <c r="AA619" s="2501"/>
      <c r="AB619" s="2501"/>
      <c r="AC619" s="2501"/>
      <c r="AD619" s="2501"/>
      <c r="AE619" s="2501"/>
      <c r="AF619" s="2501"/>
      <c r="AG619" s="2501"/>
      <c r="AH619" s="642"/>
      <c r="AI619" s="642"/>
      <c r="AJ619" s="642"/>
      <c r="AK619" s="642"/>
      <c r="AL619" s="642"/>
      <c r="AN619" s="597"/>
    </row>
    <row r="620" spans="1:42" s="550" customFormat="1" ht="12.75" customHeight="1">
      <c r="B620" s="536"/>
      <c r="C620" s="932"/>
      <c r="D620" s="936"/>
      <c r="E620" s="956"/>
      <c r="F620" s="956"/>
      <c r="G620" s="956"/>
      <c r="H620" s="956"/>
      <c r="I620" s="956"/>
      <c r="J620" s="956"/>
      <c r="K620" s="956"/>
      <c r="L620" s="956"/>
      <c r="M620" s="956"/>
      <c r="N620" s="956"/>
      <c r="O620" s="956"/>
      <c r="P620" s="956"/>
      <c r="Q620" s="956"/>
      <c r="R620" s="956"/>
      <c r="S620" s="956"/>
      <c r="T620" s="956"/>
      <c r="U620" s="956"/>
      <c r="V620" s="956"/>
      <c r="W620" s="956"/>
      <c r="X620" s="956"/>
      <c r="Y620" s="956"/>
      <c r="Z620" s="956"/>
      <c r="AA620" s="956"/>
      <c r="AB620" s="956"/>
      <c r="AC620" s="956"/>
      <c r="AD620" s="956"/>
      <c r="AE620" s="956"/>
      <c r="AF620" s="956"/>
      <c r="AG620" s="956"/>
      <c r="AH620" s="936"/>
      <c r="AI620" s="936"/>
      <c r="AJ620" s="936"/>
      <c r="AK620" s="936"/>
      <c r="AL620" s="642"/>
      <c r="AN620" s="597"/>
    </row>
    <row r="621" spans="1:42" s="550" customFormat="1" ht="12.75" customHeight="1">
      <c r="A621" s="606"/>
      <c r="B621" s="601"/>
      <c r="C621" s="937"/>
      <c r="D621" s="601"/>
      <c r="E621" s="938"/>
      <c r="F621" s="938"/>
      <c r="G621" s="938"/>
      <c r="H621" s="938"/>
      <c r="I621" s="938"/>
      <c r="J621" s="938"/>
      <c r="K621" s="938"/>
      <c r="L621" s="938"/>
      <c r="M621" s="938"/>
      <c r="N621" s="938"/>
      <c r="O621" s="938"/>
      <c r="P621" s="938"/>
      <c r="Q621" s="938"/>
      <c r="R621" s="938"/>
      <c r="S621" s="938"/>
      <c r="T621" s="938"/>
      <c r="U621" s="938"/>
      <c r="V621" s="938"/>
      <c r="W621" s="938"/>
      <c r="X621" s="938"/>
      <c r="Y621" s="938"/>
      <c r="Z621" s="938"/>
      <c r="AA621" s="938"/>
      <c r="AB621" s="601"/>
      <c r="AC621" s="601"/>
      <c r="AD621" s="601"/>
      <c r="AE621" s="601"/>
      <c r="AF621" s="601"/>
      <c r="AG621" s="601"/>
      <c r="AH621" s="601"/>
      <c r="AI621" s="565" t="s">
        <v>1403</v>
      </c>
      <c r="AJ621" s="2481">
        <f>VLOOKUP($H$606,$AO$586:$AP$591,2,FALSE)+IF(R606=AO594,0,VLOOKUP($I$614,$AO$613:$AP$615,2,FALSE))</f>
        <v>7</v>
      </c>
      <c r="AK621" s="2483"/>
      <c r="AL621" s="595"/>
      <c r="AM621" s="675"/>
      <c r="AN621" s="597"/>
    </row>
    <row r="622" spans="1:42" s="550" customFormat="1" ht="12.75" customHeight="1">
      <c r="B622" s="536"/>
      <c r="C622" s="932"/>
      <c r="D622" s="536"/>
      <c r="E622" s="935"/>
      <c r="F622" s="935"/>
      <c r="G622" s="935"/>
      <c r="H622" s="935"/>
      <c r="I622" s="935"/>
      <c r="J622" s="935"/>
      <c r="K622" s="935"/>
      <c r="L622" s="935"/>
      <c r="M622" s="935"/>
      <c r="N622" s="935"/>
      <c r="O622" s="935"/>
      <c r="P622" s="935"/>
      <c r="Q622" s="935"/>
      <c r="R622" s="935"/>
      <c r="S622" s="935"/>
      <c r="T622" s="935"/>
      <c r="U622" s="935"/>
      <c r="V622" s="935"/>
      <c r="W622" s="935"/>
      <c r="X622" s="935"/>
      <c r="Y622" s="935"/>
      <c r="Z622" s="935"/>
      <c r="AA622" s="935"/>
      <c r="AB622" s="935"/>
      <c r="AC622" s="536"/>
      <c r="AD622" s="536"/>
      <c r="AE622" s="935"/>
      <c r="AF622" s="935"/>
      <c r="AG622" s="935"/>
      <c r="AH622" s="935"/>
      <c r="AI622" s="935"/>
      <c r="AJ622" s="935"/>
      <c r="AK622" s="935"/>
      <c r="AL622" s="935"/>
      <c r="AM622" s="675"/>
      <c r="AN622" s="597"/>
    </row>
    <row r="623" spans="1:42" s="550" customFormat="1" ht="12.75" customHeight="1">
      <c r="B623" s="536"/>
      <c r="C623" s="539" t="s">
        <v>1404</v>
      </c>
      <c r="D623" s="539"/>
      <c r="E623" s="935"/>
      <c r="F623" s="935"/>
      <c r="G623" s="935"/>
      <c r="H623" s="935"/>
      <c r="I623" s="935"/>
      <c r="J623" s="935"/>
      <c r="K623" s="935"/>
      <c r="L623" s="935"/>
      <c r="M623" s="935"/>
      <c r="N623" s="935"/>
      <c r="O623" s="935"/>
      <c r="P623" s="935"/>
      <c r="Q623" s="935"/>
      <c r="R623" s="935"/>
      <c r="S623" s="935"/>
      <c r="T623" s="935"/>
      <c r="U623" s="935"/>
      <c r="V623" s="935"/>
      <c r="W623" s="935"/>
      <c r="X623" s="935"/>
      <c r="Y623" s="935"/>
      <c r="Z623" s="935"/>
      <c r="AA623" s="935"/>
      <c r="AB623" s="935"/>
      <c r="AC623" s="536"/>
      <c r="AD623" s="536"/>
      <c r="AE623" s="536"/>
      <c r="AF623" s="536"/>
      <c r="AG623" s="536"/>
      <c r="AH623" s="536"/>
      <c r="AI623" s="536"/>
      <c r="AJ623" s="536"/>
      <c r="AK623" s="536"/>
      <c r="AL623" s="536"/>
      <c r="AN623" s="597"/>
    </row>
    <row r="624" spans="1:42" s="550" customFormat="1" ht="12.75" customHeight="1">
      <c r="B624" s="610"/>
      <c r="C624" s="536"/>
      <c r="D624" s="934"/>
      <c r="E624" s="935"/>
      <c r="F624" s="935"/>
      <c r="G624" s="935"/>
      <c r="H624" s="935"/>
      <c r="I624" s="935"/>
      <c r="J624" s="935"/>
      <c r="K624" s="935"/>
      <c r="L624" s="935"/>
      <c r="M624" s="935"/>
      <c r="N624" s="935"/>
      <c r="O624" s="935"/>
      <c r="P624" s="935"/>
      <c r="Q624" s="935"/>
      <c r="R624" s="935"/>
      <c r="S624" s="935"/>
      <c r="T624" s="935"/>
      <c r="U624" s="935"/>
      <c r="V624" s="935"/>
      <c r="W624" s="935"/>
      <c r="X624" s="935"/>
      <c r="Y624" s="935"/>
      <c r="Z624" s="935"/>
      <c r="AA624" s="935"/>
      <c r="AB624" s="935"/>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9" t="s">
        <v>1693</v>
      </c>
      <c r="F625" s="2529"/>
      <c r="G625" s="2529"/>
      <c r="H625" s="2529"/>
      <c r="I625" s="2529"/>
      <c r="J625" s="2529"/>
      <c r="K625" s="2529"/>
      <c r="L625" s="2529"/>
      <c r="M625" s="2529"/>
      <c r="N625" s="2529"/>
      <c r="O625" s="2529"/>
      <c r="P625" s="2529"/>
      <c r="Q625" s="2529"/>
      <c r="R625" s="2529"/>
      <c r="S625" s="2529"/>
      <c r="T625" s="2529"/>
      <c r="U625" s="2529"/>
      <c r="V625" s="2529"/>
      <c r="W625" s="2529"/>
      <c r="X625" s="2529"/>
      <c r="Y625" s="2529"/>
      <c r="Z625" s="2529"/>
      <c r="AA625" s="2529"/>
      <c r="AB625" s="2529"/>
      <c r="AC625" s="2529"/>
      <c r="AD625" s="2529"/>
      <c r="AE625" s="539"/>
      <c r="AF625" s="2446" t="s">
        <v>1351</v>
      </c>
      <c r="AG625" s="2446"/>
      <c r="AH625" s="2446"/>
      <c r="AI625" s="2446"/>
      <c r="AJ625" s="2446"/>
      <c r="AK625" s="2446"/>
      <c r="AL625" s="2446"/>
      <c r="AM625" s="550"/>
      <c r="AN625" s="678"/>
    </row>
    <row r="626" spans="1:42" s="550" customFormat="1" ht="12.75" customHeight="1">
      <c r="A626" s="679"/>
      <c r="B626" s="536"/>
      <c r="C626" s="932"/>
      <c r="D626" s="663"/>
      <c r="E626" s="2529"/>
      <c r="F626" s="2529"/>
      <c r="G626" s="2529"/>
      <c r="H626" s="2529"/>
      <c r="I626" s="2529"/>
      <c r="J626" s="2529"/>
      <c r="K626" s="2529"/>
      <c r="L626" s="2529"/>
      <c r="M626" s="2529"/>
      <c r="N626" s="2529"/>
      <c r="O626" s="2529"/>
      <c r="P626" s="2529"/>
      <c r="Q626" s="2529"/>
      <c r="R626" s="2529"/>
      <c r="S626" s="2529"/>
      <c r="T626" s="2529"/>
      <c r="U626" s="2529"/>
      <c r="V626" s="2529"/>
      <c r="W626" s="2529"/>
      <c r="X626" s="2529"/>
      <c r="Y626" s="2529"/>
      <c r="Z626" s="2529"/>
      <c r="AA626" s="2529"/>
      <c r="AB626" s="2529"/>
      <c r="AC626" s="2529"/>
      <c r="AD626" s="2529"/>
      <c r="AE626" s="536"/>
      <c r="AF626" s="536"/>
      <c r="AG626" s="536"/>
      <c r="AH626" s="536"/>
      <c r="AI626" s="536"/>
      <c r="AJ626" s="536"/>
      <c r="AK626" s="536"/>
      <c r="AL626" s="536"/>
      <c r="AN626" s="597"/>
    </row>
    <row r="627" spans="1:42" s="550" customFormat="1" ht="12.75" customHeight="1">
      <c r="B627" s="536"/>
      <c r="C627" s="930"/>
      <c r="D627" s="663"/>
      <c r="E627" s="2529"/>
      <c r="F627" s="2529"/>
      <c r="G627" s="2529"/>
      <c r="H627" s="2529"/>
      <c r="I627" s="2529"/>
      <c r="J627" s="2529"/>
      <c r="K627" s="2529"/>
      <c r="L627" s="2529"/>
      <c r="M627" s="2529"/>
      <c r="N627" s="2529"/>
      <c r="O627" s="2529"/>
      <c r="P627" s="2529"/>
      <c r="Q627" s="2529"/>
      <c r="R627" s="2529"/>
      <c r="S627" s="2529"/>
      <c r="T627" s="2529"/>
      <c r="U627" s="2529"/>
      <c r="V627" s="2529"/>
      <c r="W627" s="2529"/>
      <c r="X627" s="2529"/>
      <c r="Y627" s="2529"/>
      <c r="Z627" s="2529"/>
      <c r="AA627" s="2529"/>
      <c r="AB627" s="2529"/>
      <c r="AC627" s="2529"/>
      <c r="AD627" s="2529"/>
      <c r="AE627" s="536"/>
      <c r="AF627" s="536"/>
      <c r="AG627" s="536"/>
      <c r="AH627" s="536"/>
      <c r="AI627" s="536"/>
      <c r="AJ627" s="536"/>
      <c r="AK627" s="536"/>
      <c r="AL627" s="536"/>
      <c r="AN627" s="597"/>
    </row>
    <row r="628" spans="1:42" s="550" customFormat="1" ht="12.75" customHeight="1">
      <c r="B628" s="536"/>
      <c r="C628" s="930"/>
      <c r="D628" s="663"/>
      <c r="E628" s="2529"/>
      <c r="F628" s="2529"/>
      <c r="G628" s="2529"/>
      <c r="H628" s="2529"/>
      <c r="I628" s="2529"/>
      <c r="J628" s="2529"/>
      <c r="K628" s="2529"/>
      <c r="L628" s="2529"/>
      <c r="M628" s="2529"/>
      <c r="N628" s="2529"/>
      <c r="O628" s="2529"/>
      <c r="P628" s="2529"/>
      <c r="Q628" s="2529"/>
      <c r="R628" s="2529"/>
      <c r="S628" s="2529"/>
      <c r="T628" s="2529"/>
      <c r="U628" s="2529"/>
      <c r="V628" s="2529"/>
      <c r="W628" s="2529"/>
      <c r="X628" s="2529"/>
      <c r="Y628" s="2529"/>
      <c r="Z628" s="2529"/>
      <c r="AA628" s="2529"/>
      <c r="AB628" s="2529"/>
      <c r="AC628" s="2529"/>
      <c r="AD628" s="2529"/>
      <c r="AE628" s="536"/>
      <c r="AF628" s="536"/>
      <c r="AG628" s="536"/>
      <c r="AH628" s="536"/>
      <c r="AI628" s="536"/>
      <c r="AJ628" s="536"/>
      <c r="AK628" s="536"/>
      <c r="AL628" s="536"/>
      <c r="AN628" s="597"/>
    </row>
    <row r="629" spans="1:42" s="550" customFormat="1" ht="12.75" customHeight="1">
      <c r="B629" s="536"/>
      <c r="C629" s="930"/>
      <c r="D629" s="663"/>
      <c r="E629" s="2529"/>
      <c r="F629" s="2529"/>
      <c r="G629" s="2529"/>
      <c r="H629" s="2529"/>
      <c r="I629" s="2529"/>
      <c r="J629" s="2529"/>
      <c r="K629" s="2529"/>
      <c r="L629" s="2529"/>
      <c r="M629" s="2529"/>
      <c r="N629" s="2529"/>
      <c r="O629" s="2529"/>
      <c r="P629" s="2529"/>
      <c r="Q629" s="2529"/>
      <c r="R629" s="2529"/>
      <c r="S629" s="2529"/>
      <c r="T629" s="2529"/>
      <c r="U629" s="2529"/>
      <c r="V629" s="2529"/>
      <c r="W629" s="2529"/>
      <c r="X629" s="2529"/>
      <c r="Y629" s="2529"/>
      <c r="Z629" s="2529"/>
      <c r="AA629" s="2529"/>
      <c r="AB629" s="2529"/>
      <c r="AC629" s="2529"/>
      <c r="AD629" s="2529"/>
      <c r="AE629" s="536"/>
      <c r="AF629" s="536"/>
      <c r="AG629" s="536"/>
      <c r="AH629" s="536"/>
      <c r="AI629" s="536"/>
      <c r="AJ629" s="536"/>
      <c r="AK629" s="536"/>
      <c r="AL629" s="536"/>
      <c r="AN629" s="597"/>
    </row>
    <row r="630" spans="1:42" s="550" customFormat="1" ht="12.75" customHeight="1">
      <c r="B630" s="536"/>
      <c r="C630" s="930"/>
      <c r="D630" s="663"/>
      <c r="E630" s="2529"/>
      <c r="F630" s="2529"/>
      <c r="G630" s="2529"/>
      <c r="H630" s="2529"/>
      <c r="I630" s="2529"/>
      <c r="J630" s="2529"/>
      <c r="K630" s="2529"/>
      <c r="L630" s="2529"/>
      <c r="M630" s="2529"/>
      <c r="N630" s="2529"/>
      <c r="O630" s="2529"/>
      <c r="P630" s="2529"/>
      <c r="Q630" s="2529"/>
      <c r="R630" s="2529"/>
      <c r="S630" s="2529"/>
      <c r="T630" s="2529"/>
      <c r="U630" s="2529"/>
      <c r="V630" s="2529"/>
      <c r="W630" s="2529"/>
      <c r="X630" s="2529"/>
      <c r="Y630" s="2529"/>
      <c r="Z630" s="2529"/>
      <c r="AA630" s="2529"/>
      <c r="AB630" s="2529"/>
      <c r="AC630" s="2529"/>
      <c r="AD630" s="2529"/>
      <c r="AE630" s="536"/>
      <c r="AF630" s="536"/>
      <c r="AG630" s="536"/>
      <c r="AH630" s="536"/>
      <c r="AI630" s="536"/>
      <c r="AJ630" s="536"/>
      <c r="AK630" s="536"/>
      <c r="AL630" s="536"/>
      <c r="AN630" s="597"/>
    </row>
    <row r="631" spans="1:42" s="550" customFormat="1" ht="12.75" customHeight="1">
      <c r="A631" s="637"/>
      <c r="B631" s="616"/>
      <c r="C631" s="939"/>
      <c r="D631" s="663"/>
      <c r="E631" s="2529"/>
      <c r="F631" s="2529"/>
      <c r="G631" s="2529"/>
      <c r="H631" s="2529"/>
      <c r="I631" s="2529"/>
      <c r="J631" s="2529"/>
      <c r="K631" s="2529"/>
      <c r="L631" s="2529"/>
      <c r="M631" s="2529"/>
      <c r="N631" s="2529"/>
      <c r="O631" s="2529"/>
      <c r="P631" s="2529"/>
      <c r="Q631" s="2529"/>
      <c r="R631" s="2529"/>
      <c r="S631" s="2529"/>
      <c r="T631" s="2529"/>
      <c r="U631" s="2529"/>
      <c r="V631" s="2529"/>
      <c r="W631" s="2529"/>
      <c r="X631" s="2529"/>
      <c r="Y631" s="2529"/>
      <c r="Z631" s="2529"/>
      <c r="AA631" s="2529"/>
      <c r="AB631" s="2529"/>
      <c r="AC631" s="2529"/>
      <c r="AD631" s="2529"/>
      <c r="AE631" s="616"/>
      <c r="AF631" s="616"/>
      <c r="AG631" s="616"/>
      <c r="AH631" s="616"/>
      <c r="AI631" s="616"/>
      <c r="AJ631" s="616"/>
      <c r="AK631" s="536"/>
      <c r="AL631" s="536"/>
      <c r="AN631" s="597"/>
    </row>
    <row r="632" spans="1:42" s="550" customFormat="1" ht="12.75" customHeight="1">
      <c r="B632" s="616"/>
      <c r="C632" s="939"/>
      <c r="D632" s="663"/>
      <c r="E632" s="2529"/>
      <c r="F632" s="2529"/>
      <c r="G632" s="2529"/>
      <c r="H632" s="2529"/>
      <c r="I632" s="2529"/>
      <c r="J632" s="2529"/>
      <c r="K632" s="2529"/>
      <c r="L632" s="2529"/>
      <c r="M632" s="2529"/>
      <c r="N632" s="2529"/>
      <c r="O632" s="2529"/>
      <c r="P632" s="2529"/>
      <c r="Q632" s="2529"/>
      <c r="R632" s="2529"/>
      <c r="S632" s="2529"/>
      <c r="T632" s="2529"/>
      <c r="U632" s="2529"/>
      <c r="V632" s="2529"/>
      <c r="W632" s="2529"/>
      <c r="X632" s="2529"/>
      <c r="Y632" s="2529"/>
      <c r="Z632" s="2529"/>
      <c r="AA632" s="2529"/>
      <c r="AB632" s="2529"/>
      <c r="AC632" s="2529"/>
      <c r="AD632" s="2529"/>
      <c r="AE632" s="616"/>
      <c r="AF632" s="616"/>
      <c r="AG632" s="616"/>
      <c r="AH632" s="616"/>
      <c r="AI632" s="616"/>
      <c r="AJ632" s="616"/>
      <c r="AK632" s="536"/>
      <c r="AL632" s="536"/>
      <c r="AN632" s="597"/>
    </row>
    <row r="633" spans="1:42" s="550" customFormat="1" ht="12" customHeight="1">
      <c r="B633" s="616"/>
      <c r="C633" s="939"/>
      <c r="D633" s="663"/>
      <c r="E633" s="955"/>
      <c r="F633" s="955"/>
      <c r="G633" s="955"/>
      <c r="H633" s="955"/>
      <c r="I633" s="955"/>
      <c r="J633" s="955"/>
      <c r="K633" s="955"/>
      <c r="L633" s="955"/>
      <c r="M633" s="955"/>
      <c r="N633" s="955"/>
      <c r="O633" s="955"/>
      <c r="P633" s="955"/>
      <c r="Q633" s="955"/>
      <c r="R633" s="955"/>
      <c r="S633" s="955"/>
      <c r="T633" s="955"/>
      <c r="U633" s="955"/>
      <c r="V633" s="955"/>
      <c r="W633" s="955"/>
      <c r="X633" s="955"/>
      <c r="Y633" s="955"/>
      <c r="Z633" s="955"/>
      <c r="AA633" s="955"/>
      <c r="AB633" s="955"/>
      <c r="AC633" s="955"/>
      <c r="AD633" s="955"/>
      <c r="AE633" s="616"/>
      <c r="AF633" s="616"/>
      <c r="AG633" s="616"/>
      <c r="AH633" s="616"/>
      <c r="AI633" s="616"/>
      <c r="AJ633" s="616"/>
      <c r="AK633" s="536"/>
      <c r="AL633" s="536"/>
      <c r="AN633" s="597"/>
      <c r="AO633" s="550" t="s">
        <v>591</v>
      </c>
      <c r="AP633" s="673">
        <v>0</v>
      </c>
    </row>
    <row r="634" spans="1:42" s="550" customFormat="1" ht="12.75" customHeight="1">
      <c r="B634" s="616"/>
      <c r="C634" s="930"/>
      <c r="D634" s="663"/>
      <c r="E634" s="616" t="s">
        <v>1405</v>
      </c>
      <c r="F634" s="940"/>
      <c r="G634" s="940"/>
      <c r="H634" s="940"/>
      <c r="I634" s="940"/>
      <c r="J634" s="940"/>
      <c r="K634" s="940"/>
      <c r="L634" s="940"/>
      <c r="M634" s="940"/>
      <c r="N634" s="940"/>
      <c r="O634" s="940"/>
      <c r="P634" s="940"/>
      <c r="Q634" s="940"/>
      <c r="R634" s="940"/>
      <c r="U634" s="940"/>
      <c r="V634" s="940"/>
      <c r="W634" s="940"/>
      <c r="X634" s="2474" t="s">
        <v>591</v>
      </c>
      <c r="Y634" s="2474"/>
      <c r="Z634" s="940"/>
      <c r="AA634" s="940"/>
      <c r="AB634" s="940"/>
      <c r="AC634" s="940"/>
      <c r="AD634" s="940"/>
      <c r="AE634" s="536"/>
      <c r="AF634" s="616"/>
      <c r="AG634" s="616"/>
      <c r="AH634" s="616"/>
      <c r="AI634" s="616"/>
      <c r="AJ634" s="616"/>
      <c r="AK634" s="536"/>
      <c r="AL634" s="536"/>
      <c r="AN634" s="597"/>
      <c r="AO634" s="611" t="s">
        <v>687</v>
      </c>
      <c r="AP634" s="550">
        <v>5</v>
      </c>
    </row>
    <row r="635" spans="1:42" s="550" customFormat="1" ht="12.75" customHeight="1">
      <c r="B635" s="616"/>
      <c r="C635" s="939"/>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0"/>
      <c r="D636" s="663" t="s">
        <v>509</v>
      </c>
      <c r="E636" s="555" t="s">
        <v>1406</v>
      </c>
      <c r="F636" s="941"/>
      <c r="G636" s="941"/>
      <c r="H636" s="941"/>
      <c r="I636" s="941"/>
      <c r="J636" s="941"/>
      <c r="K636" s="941"/>
      <c r="L636" s="941"/>
      <c r="M636" s="941"/>
      <c r="N636" s="941"/>
      <c r="O636" s="941"/>
      <c r="P636" s="941"/>
      <c r="Q636" s="941"/>
      <c r="R636" s="941"/>
      <c r="S636" s="941"/>
      <c r="T636" s="941"/>
      <c r="U636" s="536"/>
      <c r="V636" s="536"/>
      <c r="W636" s="941"/>
      <c r="X636" s="941"/>
      <c r="Y636" s="941"/>
      <c r="Z636" s="941"/>
      <c r="AA636" s="941"/>
      <c r="AB636" s="941"/>
      <c r="AC636" s="536"/>
      <c r="AD636" s="536"/>
      <c r="AE636" s="536"/>
      <c r="AF636" s="2446" t="s">
        <v>1407</v>
      </c>
      <c r="AG636" s="2446"/>
      <c r="AH636" s="2446"/>
      <c r="AI636" s="2446"/>
      <c r="AJ636" s="2446"/>
      <c r="AK636" s="2446"/>
      <c r="AL636" s="2446"/>
      <c r="AN636" s="597"/>
      <c r="AO636" s="611" t="s">
        <v>278</v>
      </c>
      <c r="AP636" s="550">
        <v>3</v>
      </c>
    </row>
    <row r="637" spans="1:42" s="550" customFormat="1" ht="12.75" customHeight="1">
      <c r="B637" s="536"/>
      <c r="C637" s="930"/>
      <c r="D637" s="536"/>
      <c r="E637" s="536"/>
      <c r="F637" s="941"/>
      <c r="G637" s="941"/>
      <c r="H637" s="941"/>
      <c r="I637" s="941"/>
      <c r="J637" s="941"/>
      <c r="K637" s="941"/>
      <c r="L637" s="941"/>
      <c r="M637" s="941"/>
      <c r="N637" s="941"/>
      <c r="O637" s="941"/>
      <c r="P637" s="941"/>
      <c r="Q637" s="941"/>
      <c r="R637" s="941"/>
      <c r="S637" s="941"/>
      <c r="T637" s="941"/>
      <c r="U637" s="536"/>
      <c r="V637" s="536"/>
      <c r="W637" s="536"/>
      <c r="X637" s="941"/>
      <c r="Y637" s="941"/>
      <c r="Z637" s="941"/>
      <c r="AA637" s="941"/>
      <c r="AB637" s="941"/>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0"/>
      <c r="D638" s="536" t="s">
        <v>1399</v>
      </c>
      <c r="E638" s="935"/>
      <c r="F638" s="935"/>
      <c r="G638" s="935"/>
      <c r="H638" s="2530" t="s">
        <v>687</v>
      </c>
      <c r="I638" s="2530"/>
      <c r="J638" s="941"/>
      <c r="K638" s="941"/>
      <c r="L638" s="941"/>
      <c r="M638" s="941"/>
      <c r="N638" s="941"/>
      <c r="O638" s="941"/>
      <c r="P638" s="941"/>
      <c r="Q638" s="941"/>
      <c r="R638" s="941"/>
      <c r="S638" s="941"/>
      <c r="T638" s="941"/>
      <c r="U638" s="935"/>
      <c r="V638" s="935"/>
      <c r="W638" s="935"/>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0"/>
      <c r="D639" s="536"/>
      <c r="E639" s="935"/>
      <c r="F639" s="941"/>
      <c r="G639" s="941"/>
      <c r="H639" s="941"/>
      <c r="I639" s="942"/>
      <c r="J639" s="941"/>
      <c r="K639" s="941"/>
      <c r="L639" s="941"/>
      <c r="M639" s="941"/>
      <c r="N639" s="941"/>
      <c r="O639" s="941"/>
      <c r="P639" s="941"/>
      <c r="Q639" s="941"/>
      <c r="R639" s="536"/>
      <c r="S639" s="536"/>
      <c r="T639" s="941"/>
      <c r="U639" s="935"/>
      <c r="V639" s="935"/>
      <c r="W639" s="935"/>
      <c r="X639" s="935"/>
      <c r="Y639" s="935"/>
      <c r="Z639" s="935"/>
      <c r="AA639" s="935"/>
      <c r="AB639" s="935"/>
      <c r="AC639" s="536"/>
      <c r="AD639" s="536"/>
      <c r="AE639" s="536"/>
      <c r="AF639" s="536"/>
      <c r="AG639" s="536"/>
      <c r="AH639" s="536"/>
      <c r="AI639" s="941"/>
      <c r="AJ639" s="941"/>
      <c r="AK639" s="941"/>
      <c r="AL639" s="941"/>
      <c r="AM639" s="681"/>
      <c r="AN639" s="597"/>
      <c r="AO639" s="611" t="s">
        <v>1408</v>
      </c>
      <c r="AP639" s="550">
        <v>2</v>
      </c>
    </row>
    <row r="640" spans="1:42" s="550" customFormat="1" ht="12.75" customHeight="1">
      <c r="A640" s="606"/>
      <c r="B640" s="601"/>
      <c r="C640" s="943"/>
      <c r="D640" s="601"/>
      <c r="E640" s="938"/>
      <c r="F640" s="938"/>
      <c r="G640" s="944"/>
      <c r="H640" s="944"/>
      <c r="I640" s="944"/>
      <c r="J640" s="944"/>
      <c r="K640" s="944"/>
      <c r="L640" s="944"/>
      <c r="M640" s="944"/>
      <c r="N640" s="944"/>
      <c r="O640" s="944"/>
      <c r="P640" s="944"/>
      <c r="Q640" s="944"/>
      <c r="R640" s="944"/>
      <c r="S640" s="944"/>
      <c r="T640" s="938"/>
      <c r="U640" s="938"/>
      <c r="V640" s="938"/>
      <c r="W640" s="938"/>
      <c r="X640" s="938"/>
      <c r="Y640" s="938"/>
      <c r="Z640" s="938"/>
      <c r="AA640" s="938"/>
      <c r="AB640" s="601"/>
      <c r="AC640" s="601"/>
      <c r="AD640" s="601"/>
      <c r="AE640" s="601"/>
      <c r="AF640" s="601"/>
      <c r="AG640" s="601"/>
      <c r="AH640" s="601"/>
      <c r="AI640" s="565" t="s">
        <v>1409</v>
      </c>
      <c r="AJ640" s="2481">
        <f>VLOOKUP($H$638,$AO$605:$AP$607,2,FALSE)</f>
        <v>3</v>
      </c>
      <c r="AK640" s="2483"/>
      <c r="AL640" s="595"/>
      <c r="AN640" s="597"/>
      <c r="AO640" s="611" t="s">
        <v>1410</v>
      </c>
      <c r="AP640" s="550">
        <v>1</v>
      </c>
    </row>
    <row r="641" spans="1:42" s="550" customFormat="1" ht="12.75" customHeight="1">
      <c r="B641" s="536"/>
      <c r="C641" s="930"/>
      <c r="D641" s="536"/>
      <c r="E641" s="935"/>
      <c r="F641" s="935"/>
      <c r="G641" s="935"/>
      <c r="H641" s="536"/>
      <c r="I641" s="536"/>
      <c r="J641" s="941"/>
      <c r="K641" s="941"/>
      <c r="L641" s="941"/>
      <c r="M641" s="941"/>
      <c r="N641" s="941"/>
      <c r="O641" s="941"/>
      <c r="P641" s="941"/>
      <c r="Q641" s="941"/>
      <c r="R641" s="941"/>
      <c r="S641" s="941"/>
      <c r="T641" s="941"/>
      <c r="U641" s="935"/>
      <c r="V641" s="935"/>
      <c r="W641" s="935"/>
      <c r="X641" s="935"/>
      <c r="Y641" s="935"/>
      <c r="Z641" s="935"/>
      <c r="AA641" s="935"/>
      <c r="AB641" s="935"/>
      <c r="AC641" s="536"/>
      <c r="AD641" s="536"/>
      <c r="AE641" s="536"/>
      <c r="AF641" s="536"/>
      <c r="AG641" s="536"/>
      <c r="AH641" s="536"/>
      <c r="AI641" s="536"/>
      <c r="AJ641" s="543"/>
      <c r="AK641" s="536"/>
      <c r="AL641" s="536"/>
      <c r="AN641" s="597"/>
    </row>
    <row r="642" spans="1:42" s="550" customFormat="1" ht="12.75" customHeight="1">
      <c r="B642" s="536"/>
      <c r="C642" s="539" t="s">
        <v>1411</v>
      </c>
      <c r="D642" s="536"/>
      <c r="E642" s="935"/>
      <c r="F642" s="941"/>
      <c r="G642" s="941"/>
      <c r="H642" s="941"/>
      <c r="I642" s="941"/>
      <c r="J642" s="941"/>
      <c r="K642" s="941"/>
      <c r="L642" s="941"/>
      <c r="M642" s="941"/>
      <c r="N642" s="941"/>
      <c r="O642" s="941"/>
      <c r="P642" s="941"/>
      <c r="Q642" s="941"/>
      <c r="R642" s="941"/>
      <c r="S642" s="941"/>
      <c r="T642" s="941"/>
      <c r="U642" s="536"/>
      <c r="V642" s="536"/>
      <c r="W642" s="941"/>
      <c r="X642" s="941"/>
      <c r="Y642" s="941"/>
      <c r="Z642" s="941"/>
      <c r="AA642" s="941"/>
      <c r="AB642" s="941"/>
      <c r="AC642" s="594"/>
      <c r="AD642" s="594"/>
      <c r="AE642" s="594"/>
      <c r="AF642" s="594"/>
      <c r="AG642" s="594"/>
      <c r="AH642" s="594"/>
      <c r="AI642" s="594"/>
      <c r="AJ642" s="536"/>
      <c r="AK642" s="536"/>
      <c r="AL642" s="536"/>
      <c r="AN642" s="597"/>
    </row>
    <row r="643" spans="1:42" s="550" customFormat="1" ht="12.75" customHeight="1">
      <c r="A643" s="637"/>
      <c r="B643" s="536"/>
      <c r="C643" s="932"/>
      <c r="D643" s="536"/>
      <c r="E643" s="941"/>
      <c r="F643" s="941"/>
      <c r="G643" s="941"/>
      <c r="H643" s="941"/>
      <c r="I643" s="941"/>
      <c r="J643" s="941"/>
      <c r="K643" s="941"/>
      <c r="L643" s="941"/>
      <c r="M643" s="941"/>
      <c r="N643" s="941"/>
      <c r="O643" s="941"/>
      <c r="P643" s="941"/>
      <c r="Q643" s="941"/>
      <c r="R643" s="941"/>
      <c r="S643" s="941"/>
      <c r="T643" s="941"/>
      <c r="U643" s="941"/>
      <c r="V643" s="941"/>
      <c r="W643" s="941"/>
      <c r="X643" s="941"/>
      <c r="Y643" s="941"/>
      <c r="Z643" s="941"/>
      <c r="AA643" s="941"/>
      <c r="AB643" s="941"/>
      <c r="AC643" s="536"/>
      <c r="AD643" s="536"/>
      <c r="AE643" s="536"/>
      <c r="AF643" s="536"/>
      <c r="AG643" s="536"/>
      <c r="AH643" s="536"/>
      <c r="AI643" s="536"/>
      <c r="AJ643" s="536"/>
      <c r="AK643" s="536"/>
      <c r="AL643" s="536"/>
      <c r="AN643" s="597"/>
    </row>
    <row r="644" spans="1:42" s="550" customFormat="1" ht="12.75" customHeight="1">
      <c r="B644" s="536"/>
      <c r="C644" s="536"/>
      <c r="D644" s="663" t="s">
        <v>687</v>
      </c>
      <c r="E644" s="2501" t="s">
        <v>2097</v>
      </c>
      <c r="F644" s="2501"/>
      <c r="G644" s="2501"/>
      <c r="H644" s="2501"/>
      <c r="I644" s="2501"/>
      <c r="J644" s="2501"/>
      <c r="K644" s="2501"/>
      <c r="L644" s="2501"/>
      <c r="M644" s="2501"/>
      <c r="N644" s="2501"/>
      <c r="O644" s="2501"/>
      <c r="P644" s="2501"/>
      <c r="Q644" s="2501"/>
      <c r="R644" s="2501"/>
      <c r="S644" s="2501"/>
      <c r="T644" s="2501"/>
      <c r="U644" s="2501"/>
      <c r="V644" s="2501"/>
      <c r="W644" s="2501"/>
      <c r="X644" s="2501"/>
      <c r="Y644" s="2501"/>
      <c r="Z644" s="2501"/>
      <c r="AA644" s="2501"/>
      <c r="AB644" s="2501"/>
      <c r="AC644" s="2501"/>
      <c r="AD644" s="2501"/>
      <c r="AE644" s="536"/>
      <c r="AF644" s="2446" t="s">
        <v>1351</v>
      </c>
      <c r="AG644" s="2446"/>
      <c r="AH644" s="2446"/>
      <c r="AI644" s="2446"/>
      <c r="AJ644" s="2446"/>
      <c r="AK644" s="2446"/>
      <c r="AL644" s="2446"/>
      <c r="AN644" s="597"/>
    </row>
    <row r="645" spans="1:42" s="550" customFormat="1" ht="12.75" customHeight="1">
      <c r="B645" s="536"/>
      <c r="C645" s="536"/>
      <c r="D645" s="663"/>
      <c r="E645" s="2501"/>
      <c r="F645" s="2501"/>
      <c r="G645" s="2501"/>
      <c r="H645" s="2501"/>
      <c r="I645" s="2501"/>
      <c r="J645" s="2501"/>
      <c r="K645" s="2501"/>
      <c r="L645" s="2501"/>
      <c r="M645" s="2501"/>
      <c r="N645" s="2501"/>
      <c r="O645" s="2501"/>
      <c r="P645" s="2501"/>
      <c r="Q645" s="2501"/>
      <c r="R645" s="2501"/>
      <c r="S645" s="2501"/>
      <c r="T645" s="2501"/>
      <c r="U645" s="2501"/>
      <c r="V645" s="2501"/>
      <c r="W645" s="2501"/>
      <c r="X645" s="2501"/>
      <c r="Y645" s="2501"/>
      <c r="Z645" s="2501"/>
      <c r="AA645" s="2501"/>
      <c r="AB645" s="2501"/>
      <c r="AC645" s="2501"/>
      <c r="AD645" s="2501"/>
      <c r="AE645" s="594"/>
      <c r="AF645" s="594"/>
      <c r="AG645" s="594"/>
      <c r="AH645" s="594"/>
      <c r="AI645" s="594"/>
      <c r="AJ645" s="594"/>
      <c r="AK645" s="594"/>
      <c r="AL645" s="594"/>
      <c r="AN645" s="597"/>
    </row>
    <row r="646" spans="1:42" s="550" customFormat="1" ht="12.75" customHeight="1">
      <c r="B646" s="616"/>
      <c r="C646" s="939"/>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0"/>
      <c r="D647" s="663" t="s">
        <v>509</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6" t="s">
        <v>1407</v>
      </c>
      <c r="AG647" s="2446"/>
      <c r="AH647" s="2446"/>
      <c r="AI647" s="2446"/>
      <c r="AJ647" s="2446"/>
      <c r="AK647" s="2446"/>
      <c r="AL647" s="2446"/>
      <c r="AN647" s="597"/>
    </row>
    <row r="648" spans="1:42" s="550" customFormat="1" ht="12.75" customHeight="1">
      <c r="B648" s="536"/>
      <c r="C648" s="930"/>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0"/>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0"/>
      <c r="D650" s="536" t="s">
        <v>1399</v>
      </c>
      <c r="E650" s="935"/>
      <c r="F650" s="935"/>
      <c r="G650" s="935"/>
      <c r="H650" s="2530" t="s">
        <v>687</v>
      </c>
      <c r="I650" s="2530"/>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0"/>
      <c r="D651" s="536"/>
      <c r="E651" s="935"/>
      <c r="F651" s="935"/>
      <c r="G651" s="616"/>
      <c r="H651" s="616"/>
      <c r="I651" s="616"/>
      <c r="J651" s="616"/>
      <c r="K651" s="616"/>
      <c r="L651" s="616"/>
      <c r="M651" s="616"/>
      <c r="N651" s="616"/>
      <c r="O651" s="616"/>
      <c r="P651" s="616"/>
      <c r="Q651" s="616"/>
      <c r="R651" s="616"/>
      <c r="S651" s="616"/>
      <c r="T651" s="616"/>
      <c r="U651" s="616"/>
      <c r="V651" s="616"/>
      <c r="W651" s="616"/>
      <c r="X651" s="616"/>
      <c r="Y651" s="616"/>
      <c r="Z651" s="935"/>
      <c r="AA651" s="935"/>
      <c r="AB651" s="935"/>
      <c r="AC651" s="536"/>
      <c r="AD651" s="536"/>
      <c r="AE651" s="536"/>
      <c r="AF651" s="536"/>
      <c r="AG651" s="536"/>
      <c r="AH651" s="536"/>
      <c r="AI651" s="536"/>
      <c r="AJ651" s="616"/>
      <c r="AK651" s="616"/>
      <c r="AL651" s="616"/>
      <c r="AM651" s="551"/>
      <c r="AN651" s="597"/>
    </row>
    <row r="652" spans="1:42" s="550" customFormat="1" ht="12.75" customHeight="1">
      <c r="A652" s="606"/>
      <c r="B652" s="601"/>
      <c r="C652" s="943"/>
      <c r="D652" s="601"/>
      <c r="E652" s="938"/>
      <c r="F652" s="938"/>
      <c r="G652" s="665"/>
      <c r="H652" s="665"/>
      <c r="I652" s="665"/>
      <c r="J652" s="665"/>
      <c r="K652" s="665"/>
      <c r="L652" s="665"/>
      <c r="M652" s="665"/>
      <c r="N652" s="665"/>
      <c r="O652" s="665"/>
      <c r="P652" s="665"/>
      <c r="Q652" s="665"/>
      <c r="R652" s="665"/>
      <c r="S652" s="665"/>
      <c r="T652" s="665"/>
      <c r="U652" s="665"/>
      <c r="V652" s="665"/>
      <c r="W652" s="665"/>
      <c r="X652" s="665"/>
      <c r="Y652" s="938"/>
      <c r="Z652" s="938"/>
      <c r="AA652" s="938"/>
      <c r="AB652" s="601"/>
      <c r="AC652" s="601"/>
      <c r="AD652" s="601"/>
      <c r="AE652" s="601"/>
      <c r="AF652" s="601"/>
      <c r="AG652" s="601"/>
      <c r="AH652" s="601"/>
      <c r="AI652" s="565" t="s">
        <v>1414</v>
      </c>
      <c r="AJ652" s="2481">
        <f>VLOOKUP(H650,AT605:AU607,2,FALSE)</f>
        <v>3</v>
      </c>
      <c r="AK652" s="2483"/>
      <c r="AL652" s="595"/>
      <c r="AN652" s="597"/>
    </row>
    <row r="653" spans="1:42" s="550" customFormat="1" ht="12.75" customHeight="1">
      <c r="B653" s="536"/>
      <c r="C653" s="930"/>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501" t="s">
        <v>1417</v>
      </c>
      <c r="F657" s="2501"/>
      <c r="G657" s="2501"/>
      <c r="H657" s="2501"/>
      <c r="I657" s="2501"/>
      <c r="J657" s="2501"/>
      <c r="K657" s="2501"/>
      <c r="L657" s="2501"/>
      <c r="M657" s="2501"/>
      <c r="N657" s="2501"/>
      <c r="O657" s="2501"/>
      <c r="P657" s="2501"/>
      <c r="Q657" s="2501"/>
      <c r="R657" s="2501"/>
      <c r="S657" s="2501"/>
      <c r="T657" s="2501"/>
      <c r="U657" s="2501"/>
      <c r="V657" s="2501"/>
      <c r="W657" s="2501"/>
      <c r="X657" s="2501"/>
      <c r="Y657" s="2501"/>
      <c r="Z657" s="2501"/>
      <c r="AA657" s="2501"/>
      <c r="AB657" s="2501"/>
      <c r="AC657" s="2501"/>
      <c r="AD657" s="536"/>
      <c r="AE657" s="536"/>
      <c r="AF657" s="2446" t="s">
        <v>1377</v>
      </c>
      <c r="AG657" s="2446"/>
      <c r="AH657" s="2446"/>
      <c r="AI657" s="2446"/>
      <c r="AJ657" s="2446"/>
      <c r="AK657" s="2446"/>
      <c r="AL657" s="2446"/>
      <c r="AN657" s="597"/>
    </row>
    <row r="658" spans="1:42" s="550" customFormat="1" ht="12.75" customHeight="1">
      <c r="B658" s="536"/>
      <c r="C658" s="539"/>
      <c r="D658" s="536"/>
      <c r="E658" s="2501"/>
      <c r="F658" s="2501"/>
      <c r="G658" s="2501"/>
      <c r="H658" s="2501"/>
      <c r="I658" s="2501"/>
      <c r="J658" s="2501"/>
      <c r="K658" s="2501"/>
      <c r="L658" s="2501"/>
      <c r="M658" s="2501"/>
      <c r="N658" s="2501"/>
      <c r="O658" s="2501"/>
      <c r="P658" s="2501"/>
      <c r="Q658" s="2501"/>
      <c r="R658" s="2501"/>
      <c r="S658" s="2501"/>
      <c r="T658" s="2501"/>
      <c r="U658" s="2501"/>
      <c r="V658" s="2501"/>
      <c r="W658" s="2501"/>
      <c r="X658" s="2501"/>
      <c r="Y658" s="2501"/>
      <c r="Z658" s="2501"/>
      <c r="AA658" s="2501"/>
      <c r="AB658" s="2501"/>
      <c r="AC658" s="2501"/>
      <c r="AD658" s="536"/>
      <c r="AE658" s="536"/>
      <c r="AF658" s="536"/>
      <c r="AG658" s="536"/>
      <c r="AH658" s="536"/>
      <c r="AI658" s="536"/>
      <c r="AJ658" s="536"/>
      <c r="AK658" s="536"/>
      <c r="AL658" s="536"/>
      <c r="AN658" s="597"/>
    </row>
    <row r="659" spans="1:42" s="550" customFormat="1" ht="12.75" customHeight="1">
      <c r="B659" s="536"/>
      <c r="C659" s="539"/>
      <c r="D659" s="663"/>
      <c r="E659" s="2501"/>
      <c r="F659" s="2501"/>
      <c r="G659" s="2501"/>
      <c r="H659" s="2501"/>
      <c r="I659" s="2501"/>
      <c r="J659" s="2501"/>
      <c r="K659" s="2501"/>
      <c r="L659" s="2501"/>
      <c r="M659" s="2501"/>
      <c r="N659" s="2501"/>
      <c r="O659" s="2501"/>
      <c r="P659" s="2501"/>
      <c r="Q659" s="2501"/>
      <c r="R659" s="2501"/>
      <c r="S659" s="2501"/>
      <c r="T659" s="2501"/>
      <c r="U659" s="2501"/>
      <c r="V659" s="2501"/>
      <c r="W659" s="2501"/>
      <c r="X659" s="2501"/>
      <c r="Y659" s="2501"/>
      <c r="Z659" s="2501"/>
      <c r="AA659" s="2501"/>
      <c r="AB659" s="2501"/>
      <c r="AC659" s="2501"/>
      <c r="AD659" s="536"/>
      <c r="AE659" s="536"/>
      <c r="AF659" s="536"/>
      <c r="AG659" s="536"/>
      <c r="AH659" s="536"/>
      <c r="AI659" s="536"/>
      <c r="AJ659" s="536"/>
      <c r="AK659" s="536"/>
      <c r="AL659" s="536"/>
      <c r="AN659" s="597"/>
    </row>
    <row r="660" spans="1:42" s="550" customFormat="1" ht="15" customHeight="1">
      <c r="B660" s="536"/>
      <c r="C660" s="539"/>
      <c r="D660" s="536"/>
      <c r="E660" s="945"/>
      <c r="F660" s="945"/>
      <c r="G660" s="945"/>
      <c r="H660" s="945"/>
      <c r="I660" s="945"/>
      <c r="J660" s="945"/>
      <c r="K660" s="945"/>
      <c r="L660" s="945"/>
      <c r="M660" s="945"/>
      <c r="N660" s="945"/>
      <c r="O660" s="945"/>
      <c r="P660" s="945"/>
      <c r="Q660" s="945"/>
      <c r="R660" s="945"/>
      <c r="S660" s="945"/>
      <c r="T660" s="945"/>
      <c r="U660" s="945"/>
      <c r="V660" s="945"/>
      <c r="W660" s="945"/>
      <c r="X660" s="945"/>
      <c r="Y660" s="945"/>
      <c r="Z660" s="945"/>
      <c r="AA660" s="945"/>
      <c r="AB660" s="945"/>
      <c r="AC660" s="536"/>
      <c r="AD660" s="536"/>
      <c r="AE660" s="536"/>
      <c r="AF660" s="536"/>
      <c r="AG660" s="536"/>
      <c r="AH660" s="536"/>
      <c r="AI660" s="536"/>
      <c r="AJ660" s="536"/>
      <c r="AK660" s="536"/>
      <c r="AL660" s="536"/>
      <c r="AN660" s="597"/>
    </row>
    <row r="661" spans="1:42" s="550" customFormat="1" ht="12.75" customHeight="1">
      <c r="B661" s="536"/>
      <c r="C661" s="539"/>
      <c r="D661" s="663" t="s">
        <v>509</v>
      </c>
      <c r="E661" s="2501" t="s">
        <v>1418</v>
      </c>
      <c r="F661" s="2501"/>
      <c r="G661" s="2501"/>
      <c r="H661" s="2501"/>
      <c r="I661" s="2501"/>
      <c r="J661" s="2501"/>
      <c r="K661" s="2501"/>
      <c r="L661" s="2501"/>
      <c r="M661" s="2501"/>
      <c r="N661" s="2501"/>
      <c r="O661" s="2501"/>
      <c r="P661" s="2501"/>
      <c r="Q661" s="2501"/>
      <c r="R661" s="2501"/>
      <c r="S661" s="2501"/>
      <c r="T661" s="2501"/>
      <c r="U661" s="2501"/>
      <c r="V661" s="2501"/>
      <c r="W661" s="2501"/>
      <c r="X661" s="2501"/>
      <c r="Y661" s="2501"/>
      <c r="Z661" s="2501"/>
      <c r="AA661" s="2501"/>
      <c r="AB661" s="2501"/>
      <c r="AC661" s="2501"/>
      <c r="AD661" s="536"/>
      <c r="AE661" s="536"/>
      <c r="AF661" s="2446" t="s">
        <v>1398</v>
      </c>
      <c r="AG661" s="2446"/>
      <c r="AH661" s="2446"/>
      <c r="AI661" s="2446"/>
      <c r="AJ661" s="2446"/>
      <c r="AK661" s="2446"/>
      <c r="AL661" s="2446"/>
      <c r="AN661" s="597"/>
    </row>
    <row r="662" spans="1:42" s="550" customFormat="1" ht="12.75" customHeight="1">
      <c r="B662" s="536"/>
      <c r="C662" s="539"/>
      <c r="D662" s="536"/>
      <c r="E662" s="2501"/>
      <c r="F662" s="2501"/>
      <c r="G662" s="2501"/>
      <c r="H662" s="2501"/>
      <c r="I662" s="2501"/>
      <c r="J662" s="2501"/>
      <c r="K662" s="2501"/>
      <c r="L662" s="2501"/>
      <c r="M662" s="2501"/>
      <c r="N662" s="2501"/>
      <c r="O662" s="2501"/>
      <c r="P662" s="2501"/>
      <c r="Q662" s="2501"/>
      <c r="R662" s="2501"/>
      <c r="S662" s="2501"/>
      <c r="T662" s="2501"/>
      <c r="U662" s="2501"/>
      <c r="V662" s="2501"/>
      <c r="W662" s="2501"/>
      <c r="X662" s="2501"/>
      <c r="Y662" s="2501"/>
      <c r="Z662" s="2501"/>
      <c r="AA662" s="2501"/>
      <c r="AB662" s="2501"/>
      <c r="AC662" s="2501"/>
      <c r="AD662" s="536"/>
      <c r="AE662" s="536"/>
      <c r="AF662" s="536"/>
      <c r="AG662" s="536"/>
      <c r="AH662" s="536"/>
      <c r="AI662" s="536"/>
      <c r="AJ662" s="536"/>
      <c r="AK662" s="536"/>
      <c r="AL662" s="536"/>
      <c r="AN662" s="597"/>
    </row>
    <row r="663" spans="1:42" s="550" customFormat="1" ht="15" customHeight="1">
      <c r="B663" s="536"/>
      <c r="C663" s="539"/>
      <c r="D663" s="663"/>
      <c r="E663" s="2501"/>
      <c r="F663" s="2501"/>
      <c r="G663" s="2501"/>
      <c r="H663" s="2501"/>
      <c r="I663" s="2501"/>
      <c r="J663" s="2501"/>
      <c r="K663" s="2501"/>
      <c r="L663" s="2501"/>
      <c r="M663" s="2501"/>
      <c r="N663" s="2501"/>
      <c r="O663" s="2501"/>
      <c r="P663" s="2501"/>
      <c r="Q663" s="2501"/>
      <c r="R663" s="2501"/>
      <c r="S663" s="2501"/>
      <c r="T663" s="2501"/>
      <c r="U663" s="2501"/>
      <c r="V663" s="2501"/>
      <c r="W663" s="2501"/>
      <c r="X663" s="2501"/>
      <c r="Y663" s="2501"/>
      <c r="Z663" s="2501"/>
      <c r="AA663" s="2501"/>
      <c r="AB663" s="2501"/>
      <c r="AC663" s="2501"/>
      <c r="AD663" s="536"/>
      <c r="AE663" s="536"/>
      <c r="AF663" s="536"/>
      <c r="AG663" s="536"/>
      <c r="AH663" s="536"/>
      <c r="AI663" s="536"/>
      <c r="AJ663" s="536"/>
      <c r="AK663" s="536"/>
      <c r="AL663" s="536"/>
      <c r="AN663" s="597"/>
    </row>
    <row r="664" spans="1:42" s="550" customFormat="1" ht="12.75" customHeight="1">
      <c r="B664" s="536"/>
      <c r="C664" s="539"/>
      <c r="D664" s="536"/>
      <c r="E664" s="945"/>
      <c r="F664" s="945"/>
      <c r="G664" s="945"/>
      <c r="H664" s="945"/>
      <c r="I664" s="945"/>
      <c r="J664" s="945"/>
      <c r="K664" s="945"/>
      <c r="L664" s="945"/>
      <c r="M664" s="945"/>
      <c r="N664" s="945"/>
      <c r="O664" s="945"/>
      <c r="P664" s="945"/>
      <c r="Q664" s="945"/>
      <c r="R664" s="945"/>
      <c r="S664" s="945"/>
      <c r="T664" s="945"/>
      <c r="U664" s="945"/>
      <c r="V664" s="945"/>
      <c r="W664" s="945"/>
      <c r="X664" s="945"/>
      <c r="Y664" s="945"/>
      <c r="Z664" s="945"/>
      <c r="AA664" s="945"/>
      <c r="AB664" s="945"/>
      <c r="AC664" s="536"/>
      <c r="AD664" s="536"/>
      <c r="AE664" s="536"/>
      <c r="AF664" s="536"/>
      <c r="AG664" s="536"/>
      <c r="AH664" s="536"/>
      <c r="AI664" s="536"/>
      <c r="AJ664" s="536"/>
      <c r="AK664" s="536"/>
      <c r="AL664" s="536"/>
      <c r="AN664" s="597"/>
    </row>
    <row r="665" spans="1:42" s="550" customFormat="1" ht="12.75" customHeight="1">
      <c r="B665" s="536"/>
      <c r="C665" s="539"/>
      <c r="D665" s="663" t="s">
        <v>278</v>
      </c>
      <c r="E665" s="2501" t="s">
        <v>1419</v>
      </c>
      <c r="F665" s="2501"/>
      <c r="G665" s="2501"/>
      <c r="H665" s="2501"/>
      <c r="I665" s="2501"/>
      <c r="J665" s="2501"/>
      <c r="K665" s="2501"/>
      <c r="L665" s="2501"/>
      <c r="M665" s="2501"/>
      <c r="N665" s="2501"/>
      <c r="O665" s="2501"/>
      <c r="P665" s="2501"/>
      <c r="Q665" s="2501"/>
      <c r="R665" s="2501"/>
      <c r="S665" s="2501"/>
      <c r="T665" s="2501"/>
      <c r="U665" s="2501"/>
      <c r="V665" s="2501"/>
      <c r="W665" s="2501"/>
      <c r="X665" s="2501"/>
      <c r="Y665" s="2501"/>
      <c r="Z665" s="2501"/>
      <c r="AA665" s="2501"/>
      <c r="AB665" s="2501"/>
      <c r="AC665" s="2501"/>
      <c r="AD665" s="536"/>
      <c r="AE665" s="536"/>
      <c r="AF665" s="2446" t="s">
        <v>1351</v>
      </c>
      <c r="AG665" s="2446"/>
      <c r="AH665" s="2446"/>
      <c r="AI665" s="2446"/>
      <c r="AJ665" s="2446"/>
      <c r="AK665" s="2446"/>
      <c r="AL665" s="2446"/>
      <c r="AN665" s="597"/>
    </row>
    <row r="666" spans="1:42" s="550" customFormat="1" ht="12.75" customHeight="1">
      <c r="B666" s="536"/>
      <c r="C666" s="930"/>
      <c r="D666" s="536"/>
      <c r="E666" s="2501"/>
      <c r="F666" s="2501"/>
      <c r="G666" s="2501"/>
      <c r="H666" s="2501"/>
      <c r="I666" s="2501"/>
      <c r="J666" s="2501"/>
      <c r="K666" s="2501"/>
      <c r="L666" s="2501"/>
      <c r="M666" s="2501"/>
      <c r="N666" s="2501"/>
      <c r="O666" s="2501"/>
      <c r="P666" s="2501"/>
      <c r="Q666" s="2501"/>
      <c r="R666" s="2501"/>
      <c r="S666" s="2501"/>
      <c r="T666" s="2501"/>
      <c r="U666" s="2501"/>
      <c r="V666" s="2501"/>
      <c r="W666" s="2501"/>
      <c r="X666" s="2501"/>
      <c r="Y666" s="2501"/>
      <c r="Z666" s="2501"/>
      <c r="AA666" s="2501"/>
      <c r="AB666" s="2501"/>
      <c r="AC666" s="2501"/>
      <c r="AD666" s="536"/>
      <c r="AE666" s="2446"/>
      <c r="AF666" s="2446"/>
      <c r="AG666" s="2446"/>
      <c r="AH666" s="2446"/>
      <c r="AI666" s="2446"/>
      <c r="AJ666" s="2446"/>
      <c r="AK666" s="2446"/>
      <c r="AL666" s="594"/>
      <c r="AN666" s="597"/>
      <c r="AO666" s="550" t="s">
        <v>591</v>
      </c>
      <c r="AP666" s="673">
        <v>0</v>
      </c>
    </row>
    <row r="667" spans="1:42" s="550" customFormat="1" ht="12.75" customHeight="1">
      <c r="A667" s="679"/>
      <c r="B667" s="536"/>
      <c r="C667" s="536"/>
      <c r="D667" s="663"/>
      <c r="E667" s="2501"/>
      <c r="F667" s="2501"/>
      <c r="G667" s="2501"/>
      <c r="H667" s="2501"/>
      <c r="I667" s="2501"/>
      <c r="J667" s="2501"/>
      <c r="K667" s="2501"/>
      <c r="L667" s="2501"/>
      <c r="M667" s="2501"/>
      <c r="N667" s="2501"/>
      <c r="O667" s="2501"/>
      <c r="P667" s="2501"/>
      <c r="Q667" s="2501"/>
      <c r="R667" s="2501"/>
      <c r="S667" s="2501"/>
      <c r="T667" s="2501"/>
      <c r="U667" s="2501"/>
      <c r="V667" s="2501"/>
      <c r="W667" s="2501"/>
      <c r="X667" s="2501"/>
      <c r="Y667" s="2501"/>
      <c r="Z667" s="2501"/>
      <c r="AA667" s="2501"/>
      <c r="AB667" s="2501"/>
      <c r="AC667" s="2501"/>
      <c r="AD667" s="536"/>
      <c r="AE667" s="536"/>
      <c r="AF667" s="536"/>
      <c r="AG667" s="536"/>
      <c r="AH667" s="536"/>
      <c r="AI667" s="536"/>
      <c r="AJ667" s="536"/>
      <c r="AK667" s="536"/>
      <c r="AL667" s="536"/>
      <c r="AN667" s="597"/>
      <c r="AO667" s="611" t="s">
        <v>687</v>
      </c>
      <c r="AP667" s="550">
        <v>3</v>
      </c>
    </row>
    <row r="668" spans="1:42" s="550" customFormat="1" ht="12.75" customHeight="1">
      <c r="B668" s="536"/>
      <c r="C668" s="930"/>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6"/>
      <c r="D669" s="663" t="s">
        <v>1396</v>
      </c>
      <c r="E669" s="2501" t="s">
        <v>1420</v>
      </c>
      <c r="F669" s="2501"/>
      <c r="G669" s="2501"/>
      <c r="H669" s="2501"/>
      <c r="I669" s="2501"/>
      <c r="J669" s="2501"/>
      <c r="K669" s="2501"/>
      <c r="L669" s="2501"/>
      <c r="M669" s="2501"/>
      <c r="N669" s="2501"/>
      <c r="O669" s="2501"/>
      <c r="P669" s="2501"/>
      <c r="Q669" s="2501"/>
      <c r="R669" s="2501"/>
      <c r="S669" s="2501"/>
      <c r="T669" s="2501"/>
      <c r="U669" s="2501"/>
      <c r="V669" s="2501"/>
      <c r="W669" s="2501"/>
      <c r="X669" s="2501"/>
      <c r="Y669" s="2501"/>
      <c r="Z669" s="2501"/>
      <c r="AA669" s="2501"/>
      <c r="AB669" s="2501"/>
      <c r="AC669" s="2501"/>
      <c r="AD669" s="536"/>
      <c r="AE669" s="536"/>
      <c r="AF669" s="2446" t="s">
        <v>1398</v>
      </c>
      <c r="AG669" s="2446"/>
      <c r="AH669" s="2446"/>
      <c r="AI669" s="2446"/>
      <c r="AJ669" s="2446"/>
      <c r="AK669" s="2446"/>
      <c r="AL669" s="2446"/>
      <c r="AN669" s="597"/>
    </row>
    <row r="670" spans="1:42" s="550" customFormat="1" ht="12.75" customHeight="1">
      <c r="A670" s="670"/>
      <c r="B670" s="536"/>
      <c r="C670" s="946"/>
      <c r="D670" s="663"/>
      <c r="E670" s="2501"/>
      <c r="F670" s="2501"/>
      <c r="G670" s="2501"/>
      <c r="H670" s="2501"/>
      <c r="I670" s="2501"/>
      <c r="J670" s="2501"/>
      <c r="K670" s="2501"/>
      <c r="L670" s="2501"/>
      <c r="M670" s="2501"/>
      <c r="N670" s="2501"/>
      <c r="O670" s="2501"/>
      <c r="P670" s="2501"/>
      <c r="Q670" s="2501"/>
      <c r="R670" s="2501"/>
      <c r="S670" s="2501"/>
      <c r="T670" s="2501"/>
      <c r="U670" s="2501"/>
      <c r="V670" s="2501"/>
      <c r="W670" s="2501"/>
      <c r="X670" s="2501"/>
      <c r="Y670" s="2501"/>
      <c r="Z670" s="2501"/>
      <c r="AA670" s="2501"/>
      <c r="AB670" s="2501"/>
      <c r="AC670" s="2501"/>
      <c r="AD670" s="536"/>
      <c r="AE670" s="594"/>
      <c r="AF670" s="594"/>
      <c r="AG670" s="594"/>
      <c r="AH670" s="594"/>
      <c r="AI670" s="594"/>
      <c r="AJ670" s="594"/>
      <c r="AK670" s="594"/>
      <c r="AL670" s="594"/>
      <c r="AM670" s="596"/>
      <c r="AN670" s="597"/>
    </row>
    <row r="671" spans="1:42" s="550" customFormat="1" ht="12.75" customHeight="1">
      <c r="A671" s="670"/>
      <c r="B671" s="536"/>
      <c r="C671" s="946"/>
      <c r="D671" s="663"/>
      <c r="E671" s="2501"/>
      <c r="F671" s="2501"/>
      <c r="G671" s="2501"/>
      <c r="H671" s="2501"/>
      <c r="I671" s="2501"/>
      <c r="J671" s="2501"/>
      <c r="K671" s="2501"/>
      <c r="L671" s="2501"/>
      <c r="M671" s="2501"/>
      <c r="N671" s="2501"/>
      <c r="O671" s="2501"/>
      <c r="P671" s="2501"/>
      <c r="Q671" s="2501"/>
      <c r="R671" s="2501"/>
      <c r="S671" s="2501"/>
      <c r="T671" s="2501"/>
      <c r="U671" s="2501"/>
      <c r="V671" s="2501"/>
      <c r="W671" s="2501"/>
      <c r="X671" s="2501"/>
      <c r="Y671" s="2501"/>
      <c r="Z671" s="2501"/>
      <c r="AA671" s="2501"/>
      <c r="AB671" s="2501"/>
      <c r="AC671" s="2501"/>
      <c r="AD671" s="536"/>
      <c r="AE671" s="594"/>
      <c r="AF671" s="594"/>
      <c r="AG671" s="594"/>
      <c r="AH671" s="594"/>
      <c r="AI671" s="594"/>
      <c r="AJ671" s="594"/>
      <c r="AK671" s="594"/>
      <c r="AL671" s="594"/>
      <c r="AM671" s="596"/>
      <c r="AN671" s="597"/>
    </row>
    <row r="672" spans="1:42" s="550" customFormat="1" ht="12.75" customHeight="1">
      <c r="B672" s="536"/>
      <c r="C672" s="930"/>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0"/>
      <c r="D673" s="663" t="s">
        <v>1397</v>
      </c>
      <c r="E673" s="2501" t="s">
        <v>1421</v>
      </c>
      <c r="F673" s="2501"/>
      <c r="G673" s="2501"/>
      <c r="H673" s="2501"/>
      <c r="I673" s="2501"/>
      <c r="J673" s="2501"/>
      <c r="K673" s="2501"/>
      <c r="L673" s="2501"/>
      <c r="M673" s="2501"/>
      <c r="N673" s="2501"/>
      <c r="O673" s="2501"/>
      <c r="P673" s="2501"/>
      <c r="Q673" s="2501"/>
      <c r="R673" s="2501"/>
      <c r="S673" s="2501"/>
      <c r="T673" s="2501"/>
      <c r="U673" s="2501"/>
      <c r="V673" s="2501"/>
      <c r="W673" s="2501"/>
      <c r="X673" s="2501"/>
      <c r="Y673" s="2501"/>
      <c r="Z673" s="2501"/>
      <c r="AA673" s="2501"/>
      <c r="AB673" s="2501"/>
      <c r="AC673" s="2501"/>
      <c r="AD673" s="536"/>
      <c r="AE673" s="536"/>
      <c r="AF673" s="2446" t="s">
        <v>1351</v>
      </c>
      <c r="AG673" s="2446"/>
      <c r="AH673" s="2446"/>
      <c r="AI673" s="2446"/>
      <c r="AJ673" s="2446"/>
      <c r="AK673" s="2446"/>
      <c r="AL673" s="2446"/>
      <c r="AM673" s="596"/>
      <c r="AN673" s="597"/>
    </row>
    <row r="674" spans="1:42" s="550" customFormat="1" ht="12.75" customHeight="1">
      <c r="B674" s="536"/>
      <c r="C674" s="930"/>
      <c r="D674" s="663"/>
      <c r="E674" s="2501"/>
      <c r="F674" s="2501"/>
      <c r="G674" s="2501"/>
      <c r="H674" s="2501"/>
      <c r="I674" s="2501"/>
      <c r="J674" s="2501"/>
      <c r="K674" s="2501"/>
      <c r="L674" s="2501"/>
      <c r="M674" s="2501"/>
      <c r="N674" s="2501"/>
      <c r="O674" s="2501"/>
      <c r="P674" s="2501"/>
      <c r="Q674" s="2501"/>
      <c r="R674" s="2501"/>
      <c r="S674" s="2501"/>
      <c r="T674" s="2501"/>
      <c r="U674" s="2501"/>
      <c r="V674" s="2501"/>
      <c r="W674" s="2501"/>
      <c r="X674" s="2501"/>
      <c r="Y674" s="2501"/>
      <c r="Z674" s="2501"/>
      <c r="AA674" s="2501"/>
      <c r="AB674" s="2501"/>
      <c r="AC674" s="2501"/>
      <c r="AD674" s="536"/>
      <c r="AE674" s="536"/>
      <c r="AF674" s="536"/>
      <c r="AG674" s="536"/>
      <c r="AH674" s="536"/>
      <c r="AI674" s="536"/>
      <c r="AJ674" s="536"/>
      <c r="AK674" s="536"/>
      <c r="AL674" s="536"/>
      <c r="AM674" s="596"/>
      <c r="AN674" s="597"/>
    </row>
    <row r="675" spans="1:42" s="550" customFormat="1" ht="12.75" customHeight="1">
      <c r="B675" s="536"/>
      <c r="C675" s="930"/>
      <c r="D675" s="663"/>
      <c r="E675" s="2501"/>
      <c r="F675" s="2501"/>
      <c r="G675" s="2501"/>
      <c r="H675" s="2501"/>
      <c r="I675" s="2501"/>
      <c r="J675" s="2501"/>
      <c r="K675" s="2501"/>
      <c r="L675" s="2501"/>
      <c r="M675" s="2501"/>
      <c r="N675" s="2501"/>
      <c r="O675" s="2501"/>
      <c r="P675" s="2501"/>
      <c r="Q675" s="2501"/>
      <c r="R675" s="2501"/>
      <c r="S675" s="2501"/>
      <c r="T675" s="2501"/>
      <c r="U675" s="2501"/>
      <c r="V675" s="2501"/>
      <c r="W675" s="2501"/>
      <c r="X675" s="2501"/>
      <c r="Y675" s="2501"/>
      <c r="Z675" s="2501"/>
      <c r="AA675" s="2501"/>
      <c r="AB675" s="2501"/>
      <c r="AC675" s="2501"/>
      <c r="AD675" s="536"/>
      <c r="AE675" s="536"/>
      <c r="AF675" s="536"/>
      <c r="AG675" s="536"/>
      <c r="AH675" s="536"/>
      <c r="AI675" s="536"/>
      <c r="AJ675" s="536"/>
      <c r="AK675" s="536"/>
      <c r="AL675" s="536"/>
      <c r="AM675" s="596"/>
      <c r="AN675" s="597"/>
    </row>
    <row r="676" spans="1:42" s="550" customFormat="1" ht="12.75" customHeight="1">
      <c r="B676" s="536"/>
      <c r="C676" s="930"/>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0"/>
      <c r="D677" s="663" t="s">
        <v>1408</v>
      </c>
      <c r="E677" s="2501" t="s">
        <v>1422</v>
      </c>
      <c r="F677" s="2501"/>
      <c r="G677" s="2501"/>
      <c r="H677" s="2501"/>
      <c r="I677" s="2501"/>
      <c r="J677" s="2501"/>
      <c r="K677" s="2501"/>
      <c r="L677" s="2501"/>
      <c r="M677" s="2501"/>
      <c r="N677" s="2501"/>
      <c r="O677" s="2501"/>
      <c r="P677" s="2501"/>
      <c r="Q677" s="2501"/>
      <c r="R677" s="2501"/>
      <c r="S677" s="2501"/>
      <c r="T677" s="2501"/>
      <c r="U677" s="2501"/>
      <c r="V677" s="2501"/>
      <c r="W677" s="2501"/>
      <c r="X677" s="2501"/>
      <c r="Y677" s="2501"/>
      <c r="Z677" s="2501"/>
      <c r="AA677" s="2501"/>
      <c r="AB677" s="2501"/>
      <c r="AC677" s="2501"/>
      <c r="AD677" s="536"/>
      <c r="AE677" s="536"/>
      <c r="AF677" s="2446" t="s">
        <v>1407</v>
      </c>
      <c r="AG677" s="2446"/>
      <c r="AH677" s="2446"/>
      <c r="AI677" s="2446"/>
      <c r="AJ677" s="2446"/>
      <c r="AK677" s="2446"/>
      <c r="AL677" s="2446"/>
      <c r="AM677" s="596"/>
      <c r="AN677" s="597"/>
    </row>
    <row r="678" spans="1:42" s="550" customFormat="1" ht="12.75" customHeight="1">
      <c r="A678" s="679"/>
      <c r="B678" s="536"/>
      <c r="C678" s="930"/>
      <c r="D678" s="663"/>
      <c r="E678" s="2501"/>
      <c r="F678" s="2501"/>
      <c r="G678" s="2501"/>
      <c r="H678" s="2501"/>
      <c r="I678" s="2501"/>
      <c r="J678" s="2501"/>
      <c r="K678" s="2501"/>
      <c r="L678" s="2501"/>
      <c r="M678" s="2501"/>
      <c r="N678" s="2501"/>
      <c r="O678" s="2501"/>
      <c r="P678" s="2501"/>
      <c r="Q678" s="2501"/>
      <c r="R678" s="2501"/>
      <c r="S678" s="2501"/>
      <c r="T678" s="2501"/>
      <c r="U678" s="2501"/>
      <c r="V678" s="2501"/>
      <c r="W678" s="2501"/>
      <c r="X678" s="2501"/>
      <c r="Y678" s="2501"/>
      <c r="Z678" s="2501"/>
      <c r="AA678" s="2501"/>
      <c r="AB678" s="2501"/>
      <c r="AC678" s="2501"/>
      <c r="AD678" s="536"/>
      <c r="AE678" s="536"/>
      <c r="AF678" s="594"/>
      <c r="AG678" s="594"/>
      <c r="AH678" s="594"/>
      <c r="AI678" s="594"/>
      <c r="AJ678" s="594"/>
      <c r="AK678" s="594"/>
      <c r="AL678" s="594"/>
      <c r="AM678" s="596"/>
      <c r="AN678" s="597"/>
    </row>
    <row r="679" spans="1:42" s="550" customFormat="1" ht="12.75" customHeight="1">
      <c r="A679" s="679"/>
      <c r="B679" s="536"/>
      <c r="C679" s="930"/>
      <c r="D679" s="663"/>
      <c r="E679" s="2501"/>
      <c r="F679" s="2501"/>
      <c r="G679" s="2501"/>
      <c r="H679" s="2501"/>
      <c r="I679" s="2501"/>
      <c r="J679" s="2501"/>
      <c r="K679" s="2501"/>
      <c r="L679" s="2501"/>
      <c r="M679" s="2501"/>
      <c r="N679" s="2501"/>
      <c r="O679" s="2501"/>
      <c r="P679" s="2501"/>
      <c r="Q679" s="2501"/>
      <c r="R679" s="2501"/>
      <c r="S679" s="2501"/>
      <c r="T679" s="2501"/>
      <c r="U679" s="2501"/>
      <c r="V679" s="2501"/>
      <c r="W679" s="2501"/>
      <c r="X679" s="2501"/>
      <c r="Y679" s="2501"/>
      <c r="Z679" s="2501"/>
      <c r="AA679" s="2501"/>
      <c r="AB679" s="2501"/>
      <c r="AC679" s="2501"/>
      <c r="AD679" s="536"/>
      <c r="AE679" s="594"/>
      <c r="AF679" s="594"/>
      <c r="AG679" s="594"/>
      <c r="AH679" s="594"/>
      <c r="AI679" s="594"/>
      <c r="AJ679" s="594"/>
      <c r="AK679" s="594"/>
      <c r="AL679" s="594"/>
      <c r="AM679" s="596"/>
      <c r="AN679" s="597"/>
    </row>
    <row r="680" spans="1:42" s="550" customFormat="1" ht="12.75" customHeight="1">
      <c r="A680" s="679"/>
      <c r="B680" s="536"/>
      <c r="C680" s="930"/>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0"/>
      <c r="D681" s="663" t="s">
        <v>1410</v>
      </c>
      <c r="E681" s="2501" t="s">
        <v>1423</v>
      </c>
      <c r="F681" s="2501"/>
      <c r="G681" s="2501"/>
      <c r="H681" s="2501"/>
      <c r="I681" s="2501"/>
      <c r="J681" s="2501"/>
      <c r="K681" s="2501"/>
      <c r="L681" s="2501"/>
      <c r="M681" s="2501"/>
      <c r="N681" s="2501"/>
      <c r="O681" s="2501"/>
      <c r="P681" s="2501"/>
      <c r="Q681" s="2501"/>
      <c r="R681" s="2501"/>
      <c r="S681" s="2501"/>
      <c r="T681" s="2501"/>
      <c r="U681" s="2501"/>
      <c r="V681" s="2501"/>
      <c r="W681" s="2501"/>
      <c r="X681" s="2501"/>
      <c r="Y681" s="2501"/>
      <c r="Z681" s="2501"/>
      <c r="AA681" s="2501"/>
      <c r="AB681" s="2501"/>
      <c r="AC681" s="2501"/>
      <c r="AD681" s="536"/>
      <c r="AE681" s="536"/>
      <c r="AF681" s="2446" t="s">
        <v>1424</v>
      </c>
      <c r="AG681" s="2446"/>
      <c r="AH681" s="2446"/>
      <c r="AI681" s="2446"/>
      <c r="AJ681" s="2446"/>
      <c r="AK681" s="2446"/>
      <c r="AL681" s="2446"/>
      <c r="AM681" s="596"/>
      <c r="AN681" s="597"/>
      <c r="AO681" s="611" t="s">
        <v>687</v>
      </c>
      <c r="AP681" s="550">
        <v>3</v>
      </c>
    </row>
    <row r="682" spans="1:42" s="550" customFormat="1" ht="12.75" customHeight="1">
      <c r="A682" s="679"/>
      <c r="B682" s="536"/>
      <c r="C682" s="930"/>
      <c r="D682" s="663"/>
      <c r="E682" s="2501"/>
      <c r="F682" s="2501"/>
      <c r="G682" s="2501"/>
      <c r="H682" s="2501"/>
      <c r="I682" s="2501"/>
      <c r="J682" s="2501"/>
      <c r="K682" s="2501"/>
      <c r="L682" s="2501"/>
      <c r="M682" s="2501"/>
      <c r="N682" s="2501"/>
      <c r="O682" s="2501"/>
      <c r="P682" s="2501"/>
      <c r="Q682" s="2501"/>
      <c r="R682" s="2501"/>
      <c r="S682" s="2501"/>
      <c r="T682" s="2501"/>
      <c r="U682" s="2501"/>
      <c r="V682" s="2501"/>
      <c r="W682" s="2501"/>
      <c r="X682" s="2501"/>
      <c r="Y682" s="2501"/>
      <c r="Z682" s="2501"/>
      <c r="AA682" s="2501"/>
      <c r="AB682" s="2501"/>
      <c r="AC682" s="2501"/>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0"/>
      <c r="D683" s="663"/>
      <c r="E683" s="2501"/>
      <c r="F683" s="2501"/>
      <c r="G683" s="2501"/>
      <c r="H683" s="2501"/>
      <c r="I683" s="2501"/>
      <c r="J683" s="2501"/>
      <c r="K683" s="2501"/>
      <c r="L683" s="2501"/>
      <c r="M683" s="2501"/>
      <c r="N683" s="2501"/>
      <c r="O683" s="2501"/>
      <c r="P683" s="2501"/>
      <c r="Q683" s="2501"/>
      <c r="R683" s="2501"/>
      <c r="S683" s="2501"/>
      <c r="T683" s="2501"/>
      <c r="U683" s="2501"/>
      <c r="V683" s="2501"/>
      <c r="W683" s="2501"/>
      <c r="X683" s="2501"/>
      <c r="Y683" s="2501"/>
      <c r="Z683" s="2501"/>
      <c r="AA683" s="2501"/>
      <c r="AB683" s="2501"/>
      <c r="AC683" s="2501"/>
      <c r="AD683" s="536"/>
      <c r="AE683" s="594"/>
      <c r="AF683" s="594"/>
      <c r="AG683" s="594"/>
      <c r="AH683" s="594"/>
      <c r="AI683" s="594"/>
      <c r="AJ683" s="594"/>
      <c r="AK683" s="594"/>
      <c r="AL683" s="594"/>
      <c r="AM683" s="596"/>
      <c r="AN683" s="597"/>
    </row>
    <row r="684" spans="1:42" s="550" customFormat="1" ht="12.75" customHeight="1">
      <c r="A684" s="670"/>
      <c r="B684" s="536"/>
      <c r="C684" s="946"/>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0"/>
      <c r="D685" s="536" t="s">
        <v>1399</v>
      </c>
      <c r="E685" s="935"/>
      <c r="F685" s="935"/>
      <c r="G685" s="935"/>
      <c r="H685" s="2530" t="s">
        <v>687</v>
      </c>
      <c r="I685" s="2530"/>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0"/>
      <c r="D686" s="536"/>
      <c r="E686" s="935"/>
      <c r="F686" s="935"/>
      <c r="G686" s="616"/>
      <c r="H686" s="616"/>
      <c r="I686" s="616"/>
      <c r="J686" s="616"/>
      <c r="K686" s="616"/>
      <c r="L686" s="616"/>
      <c r="M686" s="616"/>
      <c r="N686" s="616"/>
      <c r="O686" s="616"/>
      <c r="P686" s="616"/>
      <c r="Q686" s="616"/>
      <c r="R686" s="616"/>
      <c r="S686" s="616"/>
      <c r="T686" s="616"/>
      <c r="U686" s="616"/>
      <c r="V686" s="616"/>
      <c r="W686" s="616"/>
      <c r="X686" s="616"/>
      <c r="Y686" s="616"/>
      <c r="Z686" s="935"/>
      <c r="AA686" s="935"/>
      <c r="AB686" s="935"/>
      <c r="AC686" s="536"/>
      <c r="AD686" s="536"/>
      <c r="AE686" s="536"/>
      <c r="AF686" s="536"/>
      <c r="AG686" s="616"/>
      <c r="AH686" s="616"/>
      <c r="AI686" s="616"/>
      <c r="AJ686" s="616"/>
      <c r="AK686" s="616"/>
      <c r="AL686" s="616"/>
      <c r="AM686" s="551"/>
      <c r="AN686" s="597"/>
    </row>
    <row r="687" spans="1:42" s="550" customFormat="1" ht="12.75" customHeight="1">
      <c r="A687" s="683"/>
      <c r="B687" s="601"/>
      <c r="C687" s="943"/>
      <c r="D687" s="601"/>
      <c r="E687" s="938"/>
      <c r="F687" s="665"/>
      <c r="G687" s="665"/>
      <c r="H687" s="665"/>
      <c r="I687" s="665"/>
      <c r="J687" s="665"/>
      <c r="K687" s="665"/>
      <c r="L687" s="665"/>
      <c r="M687" s="665"/>
      <c r="N687" s="665"/>
      <c r="O687" s="665"/>
      <c r="P687" s="665"/>
      <c r="Q687" s="665"/>
      <c r="R687" s="665"/>
      <c r="S687" s="665"/>
      <c r="T687" s="665"/>
      <c r="U687" s="665"/>
      <c r="V687" s="665"/>
      <c r="W687" s="665"/>
      <c r="X687" s="665"/>
      <c r="Y687" s="938"/>
      <c r="Z687" s="938"/>
      <c r="AA687" s="938"/>
      <c r="AB687" s="601"/>
      <c r="AC687" s="601"/>
      <c r="AD687" s="601"/>
      <c r="AE687" s="601"/>
      <c r="AF687" s="601"/>
      <c r="AG687" s="601"/>
      <c r="AH687" s="601"/>
      <c r="AI687" s="565" t="s">
        <v>1425</v>
      </c>
      <c r="AJ687" s="2481">
        <f>VLOOKUP($H$685,$AO$633:$AP$640,2,FALSE)</f>
        <v>5</v>
      </c>
      <c r="AK687" s="2483"/>
      <c r="AL687" s="595"/>
      <c r="AN687" s="597"/>
    </row>
    <row r="688" spans="1:42" s="550" customFormat="1" ht="12.75" customHeight="1">
      <c r="A688" s="679"/>
      <c r="B688" s="536"/>
      <c r="C688" s="930"/>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7"/>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1">
        <f>Application!G753</f>
        <v>391</v>
      </c>
    </row>
    <row r="691" spans="1:51" s="550" customFormat="1" ht="12.75" customHeight="1">
      <c r="A691" s="679"/>
      <c r="B691" s="536"/>
      <c r="C691" s="947"/>
      <c r="D691" s="663" t="s">
        <v>687</v>
      </c>
      <c r="E691" s="2537" t="s">
        <v>2189</v>
      </c>
      <c r="F691" s="2537"/>
      <c r="G691" s="2537"/>
      <c r="H691" s="2537"/>
      <c r="I691" s="2537"/>
      <c r="J691" s="2537"/>
      <c r="K691" s="2537"/>
      <c r="L691" s="2537"/>
      <c r="M691" s="2537"/>
      <c r="N691" s="2537"/>
      <c r="O691" s="2537"/>
      <c r="P691" s="2537"/>
      <c r="Q691" s="2537"/>
      <c r="R691" s="2537"/>
      <c r="S691" s="2537"/>
      <c r="T691" s="2537"/>
      <c r="U691" s="2537"/>
      <c r="V691" s="2537"/>
      <c r="W691" s="2537"/>
      <c r="X691" s="2537"/>
      <c r="Y691" s="2537"/>
      <c r="Z691" s="2537"/>
      <c r="AA691" s="2537"/>
      <c r="AB691" s="2537"/>
      <c r="AC691" s="536"/>
      <c r="AD691" s="536"/>
      <c r="AE691" s="536"/>
      <c r="AF691" s="2446" t="s">
        <v>1351</v>
      </c>
      <c r="AG691" s="2446"/>
      <c r="AH691" s="2446"/>
      <c r="AI691" s="2446"/>
      <c r="AJ691" s="2446"/>
      <c r="AK691" s="2446"/>
      <c r="AL691" s="2446"/>
      <c r="AN691" s="597"/>
      <c r="AW691" s="22" t="s">
        <v>2184</v>
      </c>
      <c r="AX691" s="550">
        <f>Application!DE753</f>
        <v>0</v>
      </c>
    </row>
    <row r="692" spans="1:51" s="550" customFormat="1" ht="12.75" customHeight="1">
      <c r="A692" s="679"/>
      <c r="B692" s="536"/>
      <c r="C692" s="947"/>
      <c r="D692" s="663"/>
      <c r="E692" s="2537"/>
      <c r="F692" s="2537"/>
      <c r="G692" s="2537"/>
      <c r="H692" s="2537"/>
      <c r="I692" s="2537"/>
      <c r="J692" s="2537"/>
      <c r="K692" s="2537"/>
      <c r="L692" s="2537"/>
      <c r="M692" s="2537"/>
      <c r="N692" s="2537"/>
      <c r="O692" s="2537"/>
      <c r="P692" s="2537"/>
      <c r="Q692" s="2537"/>
      <c r="R692" s="2537"/>
      <c r="S692" s="2537"/>
      <c r="T692" s="2537"/>
      <c r="U692" s="2537"/>
      <c r="V692" s="2537"/>
      <c r="W692" s="2537"/>
      <c r="X692" s="2537"/>
      <c r="Y692" s="2537"/>
      <c r="Z692" s="2537"/>
      <c r="AA692" s="2537"/>
      <c r="AB692" s="2537"/>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7"/>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0"/>
      <c r="D694" s="663" t="s">
        <v>509</v>
      </c>
      <c r="E694" s="2501" t="s">
        <v>2133</v>
      </c>
      <c r="F694" s="2501"/>
      <c r="G694" s="2501"/>
      <c r="H694" s="2501"/>
      <c r="I694" s="2501"/>
      <c r="J694" s="2501"/>
      <c r="K694" s="2501"/>
      <c r="L694" s="2501"/>
      <c r="M694" s="2501"/>
      <c r="N694" s="2501"/>
      <c r="O694" s="2501"/>
      <c r="P694" s="2501"/>
      <c r="Q694" s="2501"/>
      <c r="R694" s="2501"/>
      <c r="S694" s="2501"/>
      <c r="T694" s="2501"/>
      <c r="U694" s="2501"/>
      <c r="V694" s="2501"/>
      <c r="W694" s="2501"/>
      <c r="X694" s="2501"/>
      <c r="Y694" s="2501"/>
      <c r="Z694" s="2501"/>
      <c r="AA694" s="2501"/>
      <c r="AB694" s="2501"/>
      <c r="AC694" s="536"/>
      <c r="AD694" s="536"/>
      <c r="AE694" s="536"/>
      <c r="AF694" s="2446" t="s">
        <v>1351</v>
      </c>
      <c r="AG694" s="2446"/>
      <c r="AH694" s="2446"/>
      <c r="AI694" s="2446"/>
      <c r="AJ694" s="2446"/>
      <c r="AK694" s="2446"/>
      <c r="AL694" s="2446"/>
      <c r="AN694" s="597"/>
      <c r="AW694" s="22" t="s">
        <v>2187</v>
      </c>
      <c r="AX694" s="550">
        <f>AX691+AX692+AX693</f>
        <v>0</v>
      </c>
    </row>
    <row r="695" spans="1:51" s="550" customFormat="1" ht="12.75" customHeight="1">
      <c r="B695" s="536"/>
      <c r="C695" s="939"/>
      <c r="D695" s="663"/>
      <c r="E695" s="2501"/>
      <c r="F695" s="2501"/>
      <c r="G695" s="2501"/>
      <c r="H695" s="2501"/>
      <c r="I695" s="2501"/>
      <c r="J695" s="2501"/>
      <c r="K695" s="2501"/>
      <c r="L695" s="2501"/>
      <c r="M695" s="2501"/>
      <c r="N695" s="2501"/>
      <c r="O695" s="2501"/>
      <c r="P695" s="2501"/>
      <c r="Q695" s="2501"/>
      <c r="R695" s="2501"/>
      <c r="S695" s="2501"/>
      <c r="T695" s="2501"/>
      <c r="U695" s="2501"/>
      <c r="V695" s="2501"/>
      <c r="W695" s="2501"/>
      <c r="X695" s="2501"/>
      <c r="Y695" s="2501"/>
      <c r="Z695" s="2501"/>
      <c r="AA695" s="2501"/>
      <c r="AB695" s="2501"/>
      <c r="AC695" s="536"/>
      <c r="AD695" s="536"/>
      <c r="AE695" s="616"/>
      <c r="AF695" s="536"/>
      <c r="AG695" s="536"/>
      <c r="AH695" s="536"/>
      <c r="AI695" s="536"/>
      <c r="AJ695" s="536"/>
      <c r="AK695" s="536"/>
      <c r="AL695" s="536"/>
      <c r="AN695" s="597"/>
      <c r="AO695" s="2536" t="b">
        <f>IF(Application!D211="Special Needs",IF(AY695&gt;=0.25,TRUE,FALSE),IF(AX695&gt;=0.25,TRUE,FALSE))</f>
        <v>0</v>
      </c>
      <c r="AP695" s="2536"/>
      <c r="AW695" s="22" t="s">
        <v>2188</v>
      </c>
      <c r="AX695" s="550">
        <f>IFERROR(AX694/AX690,0)</f>
        <v>0</v>
      </c>
      <c r="AY695" s="550">
        <f>IFERROR(AX694/(AX690-AX689),0)</f>
        <v>0</v>
      </c>
    </row>
    <row r="696" spans="1:51" s="550" customFormat="1" ht="12.75" customHeight="1">
      <c r="B696" s="536"/>
      <c r="C696" s="939"/>
      <c r="E696" s="2501"/>
      <c r="F696" s="2501"/>
      <c r="G696" s="2501"/>
      <c r="H696" s="2501"/>
      <c r="I696" s="2501"/>
      <c r="J696" s="2501"/>
      <c r="K696" s="2501"/>
      <c r="L696" s="2501"/>
      <c r="M696" s="2501"/>
      <c r="N696" s="2501"/>
      <c r="O696" s="2501"/>
      <c r="P696" s="2501"/>
      <c r="Q696" s="2501"/>
      <c r="R696" s="2501"/>
      <c r="S696" s="2501"/>
      <c r="T696" s="2501"/>
      <c r="U696" s="2501"/>
      <c r="V696" s="2501"/>
      <c r="W696" s="2501"/>
      <c r="X696" s="2501"/>
      <c r="Y696" s="2501"/>
      <c r="Z696" s="2501"/>
      <c r="AA696" s="2501"/>
      <c r="AB696" s="2501"/>
      <c r="AC696" s="536"/>
      <c r="AD696" s="536"/>
      <c r="AE696" s="616"/>
      <c r="AF696" s="616"/>
      <c r="AG696" s="616"/>
      <c r="AH696" s="616"/>
      <c r="AI696" s="616"/>
      <c r="AJ696" s="616"/>
      <c r="AK696" s="616"/>
      <c r="AL696" s="616"/>
      <c r="AN696" s="597"/>
      <c r="AW696" s="14"/>
    </row>
    <row r="697" spans="1:51" s="550" customFormat="1" ht="28.5" customHeight="1">
      <c r="B697" s="536"/>
      <c r="C697" s="939"/>
      <c r="D697" s="536"/>
      <c r="E697" s="2501"/>
      <c r="F697" s="2501"/>
      <c r="G697" s="2501"/>
      <c r="H697" s="2501"/>
      <c r="I697" s="2501"/>
      <c r="J697" s="2501"/>
      <c r="K697" s="2501"/>
      <c r="L697" s="2501"/>
      <c r="M697" s="2501"/>
      <c r="N697" s="2501"/>
      <c r="O697" s="2501"/>
      <c r="P697" s="2501"/>
      <c r="Q697" s="2501"/>
      <c r="R697" s="2501"/>
      <c r="S697" s="2501"/>
      <c r="T697" s="2501"/>
      <c r="U697" s="2501"/>
      <c r="V697" s="2501"/>
      <c r="W697" s="2501"/>
      <c r="X697" s="2501"/>
      <c r="Y697" s="2501"/>
      <c r="Z697" s="2501"/>
      <c r="AA697" s="2501"/>
      <c r="AB697" s="2501"/>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39"/>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0"/>
      <c r="D699" s="663" t="s">
        <v>278</v>
      </c>
      <c r="E699" s="2501" t="s">
        <v>2134</v>
      </c>
      <c r="F699" s="2501"/>
      <c r="G699" s="2501"/>
      <c r="H699" s="2501"/>
      <c r="I699" s="2501"/>
      <c r="J699" s="2501"/>
      <c r="K699" s="2501"/>
      <c r="L699" s="2501"/>
      <c r="M699" s="2501"/>
      <c r="N699" s="2501"/>
      <c r="O699" s="2501"/>
      <c r="P699" s="2501"/>
      <c r="Q699" s="2501"/>
      <c r="R699" s="2501"/>
      <c r="S699" s="2501"/>
      <c r="T699" s="2501"/>
      <c r="U699" s="2501"/>
      <c r="V699" s="2501"/>
      <c r="W699" s="2501"/>
      <c r="X699" s="2501"/>
      <c r="Y699" s="2501"/>
      <c r="Z699" s="2501"/>
      <c r="AA699" s="2501"/>
      <c r="AB699" s="2501"/>
      <c r="AC699" s="536"/>
      <c r="AD699" s="536"/>
      <c r="AE699" s="536"/>
      <c r="AF699" s="2446" t="s">
        <v>1407</v>
      </c>
      <c r="AG699" s="2446"/>
      <c r="AH699" s="2446"/>
      <c r="AI699" s="2446"/>
      <c r="AJ699" s="2446"/>
      <c r="AK699" s="2446"/>
      <c r="AL699" s="2446"/>
      <c r="AN699" s="597"/>
      <c r="AO699" s="611" t="s">
        <v>509</v>
      </c>
      <c r="AP699" s="550">
        <v>1</v>
      </c>
    </row>
    <row r="700" spans="1:51" s="550" customFormat="1" ht="12" customHeight="1">
      <c r="B700" s="536"/>
      <c r="C700" s="930"/>
      <c r="E700" s="2501"/>
      <c r="F700" s="2501"/>
      <c r="G700" s="2501"/>
      <c r="H700" s="2501"/>
      <c r="I700" s="2501"/>
      <c r="J700" s="2501"/>
      <c r="K700" s="2501"/>
      <c r="L700" s="2501"/>
      <c r="M700" s="2501"/>
      <c r="N700" s="2501"/>
      <c r="O700" s="2501"/>
      <c r="P700" s="2501"/>
      <c r="Q700" s="2501"/>
      <c r="R700" s="2501"/>
      <c r="S700" s="2501"/>
      <c r="T700" s="2501"/>
      <c r="U700" s="2501"/>
      <c r="V700" s="2501"/>
      <c r="W700" s="2501"/>
      <c r="X700" s="2501"/>
      <c r="Y700" s="2501"/>
      <c r="Z700" s="2501"/>
      <c r="AA700" s="2501"/>
      <c r="AB700" s="2501"/>
      <c r="AC700" s="536"/>
      <c r="AD700" s="536"/>
      <c r="AE700" s="616"/>
      <c r="AF700" s="536"/>
      <c r="AG700" s="536"/>
      <c r="AH700" s="536"/>
      <c r="AI700" s="536"/>
      <c r="AJ700" s="536"/>
      <c r="AK700" s="536"/>
      <c r="AL700" s="536"/>
      <c r="AN700" s="597"/>
    </row>
    <row r="701" spans="1:51" s="550" customFormat="1" ht="12" customHeight="1">
      <c r="B701" s="536"/>
      <c r="C701" s="930"/>
      <c r="D701" s="536"/>
      <c r="E701" s="2501"/>
      <c r="F701" s="2501"/>
      <c r="G701" s="2501"/>
      <c r="H701" s="2501"/>
      <c r="I701" s="2501"/>
      <c r="J701" s="2501"/>
      <c r="K701" s="2501"/>
      <c r="L701" s="2501"/>
      <c r="M701" s="2501"/>
      <c r="N701" s="2501"/>
      <c r="O701" s="2501"/>
      <c r="P701" s="2501"/>
      <c r="Q701" s="2501"/>
      <c r="R701" s="2501"/>
      <c r="S701" s="2501"/>
      <c r="T701" s="2501"/>
      <c r="U701" s="2501"/>
      <c r="V701" s="2501"/>
      <c r="W701" s="2501"/>
      <c r="X701" s="2501"/>
      <c r="Y701" s="2501"/>
      <c r="Z701" s="2501"/>
      <c r="AA701" s="2501"/>
      <c r="AB701" s="2501"/>
      <c r="AC701" s="536"/>
      <c r="AD701" s="536"/>
      <c r="AE701" s="616"/>
      <c r="AF701" s="536"/>
      <c r="AG701" s="536"/>
      <c r="AH701" s="536"/>
      <c r="AI701" s="536"/>
      <c r="AJ701" s="536"/>
      <c r="AK701" s="536"/>
      <c r="AL701" s="536"/>
      <c r="AN701" s="597"/>
    </row>
    <row r="702" spans="1:51" s="550" customFormat="1" ht="12" customHeight="1">
      <c r="B702" s="536"/>
      <c r="C702" s="930"/>
      <c r="D702" s="536"/>
      <c r="E702" s="2501"/>
      <c r="F702" s="2501"/>
      <c r="G702" s="2501"/>
      <c r="H702" s="2501"/>
      <c r="I702" s="2501"/>
      <c r="J702" s="2501"/>
      <c r="K702" s="2501"/>
      <c r="L702" s="2501"/>
      <c r="M702" s="2501"/>
      <c r="N702" s="2501"/>
      <c r="O702" s="2501"/>
      <c r="P702" s="2501"/>
      <c r="Q702" s="2501"/>
      <c r="R702" s="2501"/>
      <c r="S702" s="2501"/>
      <c r="T702" s="2501"/>
      <c r="U702" s="2501"/>
      <c r="V702" s="2501"/>
      <c r="W702" s="2501"/>
      <c r="X702" s="2501"/>
      <c r="Y702" s="2501"/>
      <c r="Z702" s="2501"/>
      <c r="AA702" s="2501"/>
      <c r="AB702" s="2501"/>
      <c r="AC702" s="536"/>
      <c r="AD702" s="536"/>
      <c r="AE702" s="616"/>
      <c r="AF702" s="536"/>
      <c r="AG702" s="536"/>
      <c r="AH702" s="536"/>
      <c r="AI702" s="536"/>
      <c r="AJ702" s="536"/>
      <c r="AK702" s="536"/>
      <c r="AL702" s="536"/>
      <c r="AN702" s="597"/>
    </row>
    <row r="703" spans="1:51" s="570" customFormat="1" ht="12.95" customHeight="1">
      <c r="A703" s="550"/>
      <c r="B703" s="536"/>
      <c r="C703" s="930"/>
      <c r="D703" s="536"/>
      <c r="E703" s="2501"/>
      <c r="F703" s="2501"/>
      <c r="G703" s="2501"/>
      <c r="H703" s="2501"/>
      <c r="I703" s="2501"/>
      <c r="J703" s="2501"/>
      <c r="K703" s="2501"/>
      <c r="L703" s="2501"/>
      <c r="M703" s="2501"/>
      <c r="N703" s="2501"/>
      <c r="O703" s="2501"/>
      <c r="P703" s="2501"/>
      <c r="Q703" s="2501"/>
      <c r="R703" s="2501"/>
      <c r="S703" s="2501"/>
      <c r="T703" s="2501"/>
      <c r="U703" s="2501"/>
      <c r="V703" s="2501"/>
      <c r="W703" s="2501"/>
      <c r="X703" s="2501"/>
      <c r="Y703" s="2501"/>
      <c r="Z703" s="2501"/>
      <c r="AA703" s="2501"/>
      <c r="AB703" s="2501"/>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0"/>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0"/>
      <c r="D705" s="536"/>
      <c r="E705" s="2501" t="s">
        <v>1692</v>
      </c>
      <c r="F705" s="2501"/>
      <c r="G705" s="2501"/>
      <c r="H705" s="2501"/>
      <c r="I705" s="2501"/>
      <c r="J705" s="2501"/>
      <c r="K705" s="2501"/>
      <c r="L705" s="2501"/>
      <c r="M705" s="2501"/>
      <c r="N705" s="2501"/>
      <c r="O705" s="2501"/>
      <c r="P705" s="2501"/>
      <c r="Q705" s="2501"/>
      <c r="R705" s="2501"/>
      <c r="S705" s="2501"/>
      <c r="T705" s="2501"/>
      <c r="U705" s="2501"/>
      <c r="V705" s="2501"/>
      <c r="W705" s="2501"/>
      <c r="X705" s="2501"/>
      <c r="Y705" s="2501"/>
      <c r="Z705" s="2501"/>
      <c r="AA705" s="2501"/>
      <c r="AB705" s="2501"/>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0"/>
      <c r="D706" s="536"/>
      <c r="E706" s="2501"/>
      <c r="F706" s="2501"/>
      <c r="G706" s="2501"/>
      <c r="H706" s="2501"/>
      <c r="I706" s="2501"/>
      <c r="J706" s="2501"/>
      <c r="K706" s="2501"/>
      <c r="L706" s="2501"/>
      <c r="M706" s="2501"/>
      <c r="N706" s="2501"/>
      <c r="O706" s="2501"/>
      <c r="P706" s="2501"/>
      <c r="Q706" s="2501"/>
      <c r="R706" s="2501"/>
      <c r="S706" s="2501"/>
      <c r="T706" s="2501"/>
      <c r="U706" s="2501"/>
      <c r="V706" s="2501"/>
      <c r="W706" s="2501"/>
      <c r="X706" s="2501"/>
      <c r="Y706" s="2501"/>
      <c r="Z706" s="2501"/>
      <c r="AA706" s="2501"/>
      <c r="AB706" s="2501"/>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0"/>
      <c r="D707" s="536"/>
      <c r="E707" s="2501"/>
      <c r="F707" s="2501"/>
      <c r="G707" s="2501"/>
      <c r="H707" s="2501"/>
      <c r="I707" s="2501"/>
      <c r="J707" s="2501"/>
      <c r="K707" s="2501"/>
      <c r="L707" s="2501"/>
      <c r="M707" s="2501"/>
      <c r="N707" s="2501"/>
      <c r="O707" s="2501"/>
      <c r="P707" s="2501"/>
      <c r="Q707" s="2501"/>
      <c r="R707" s="2501"/>
      <c r="S707" s="2501"/>
      <c r="T707" s="2501"/>
      <c r="U707" s="2501"/>
      <c r="V707" s="2501"/>
      <c r="W707" s="2501"/>
      <c r="X707" s="2501"/>
      <c r="Y707" s="2501"/>
      <c r="Z707" s="2501"/>
      <c r="AA707" s="2501"/>
      <c r="AB707" s="2501"/>
      <c r="AC707" s="536"/>
      <c r="AD707" s="536"/>
      <c r="AE707" s="616"/>
      <c r="AF707" s="616"/>
      <c r="AG707" s="616"/>
      <c r="AH707" s="616"/>
      <c r="AI707" s="616"/>
      <c r="AJ707" s="536"/>
      <c r="AK707" s="536"/>
      <c r="AL707" s="536"/>
      <c r="AM707" s="550"/>
      <c r="AN707" s="684"/>
    </row>
    <row r="708" spans="1:43" s="570" customFormat="1" ht="12.75" customHeight="1">
      <c r="A708" s="550"/>
      <c r="B708" s="536"/>
      <c r="C708" s="930"/>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0"/>
      <c r="D709" s="536" t="s">
        <v>1399</v>
      </c>
      <c r="E709" s="935"/>
      <c r="F709" s="935"/>
      <c r="G709" s="935"/>
      <c r="H709" s="2530" t="s">
        <v>687</v>
      </c>
      <c r="I709" s="2530"/>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0"/>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3"/>
      <c r="D711" s="601"/>
      <c r="E711" s="601"/>
      <c r="F711" s="601"/>
      <c r="G711" s="601"/>
      <c r="H711" s="601"/>
      <c r="I711" s="601"/>
      <c r="J711" s="948"/>
      <c r="K711" s="948"/>
      <c r="L711" s="665"/>
      <c r="M711" s="665"/>
      <c r="N711" s="665"/>
      <c r="O711" s="665"/>
      <c r="P711" s="665"/>
      <c r="Q711" s="665"/>
      <c r="R711" s="665"/>
      <c r="S711" s="665"/>
      <c r="T711" s="665"/>
      <c r="U711" s="665"/>
      <c r="V711" s="665"/>
      <c r="W711" s="665"/>
      <c r="X711" s="665"/>
      <c r="Y711" s="938"/>
      <c r="Z711" s="938"/>
      <c r="AA711" s="938"/>
      <c r="AB711" s="601"/>
      <c r="AC711" s="601"/>
      <c r="AD711" s="601"/>
      <c r="AE711" s="601"/>
      <c r="AF711" s="601"/>
      <c r="AG711" s="601"/>
      <c r="AH711" s="601"/>
      <c r="AI711" s="565" t="s">
        <v>2136</v>
      </c>
      <c r="AJ711" s="2481">
        <f>VLOOKUP($H$709,$AO$703:$AP$706,2,FALSE)</f>
        <v>3</v>
      </c>
      <c r="AK711" s="2483"/>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0"/>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0"/>
      <c r="D715" s="663" t="s">
        <v>687</v>
      </c>
      <c r="E715" s="2538" t="s">
        <v>1694</v>
      </c>
      <c r="F715" s="2538"/>
      <c r="G715" s="2538"/>
      <c r="H715" s="2538"/>
      <c r="I715" s="2538"/>
      <c r="J715" s="2538"/>
      <c r="K715" s="2538"/>
      <c r="L715" s="2538"/>
      <c r="M715" s="2538"/>
      <c r="N715" s="2538"/>
      <c r="O715" s="2538"/>
      <c r="P715" s="2538"/>
      <c r="Q715" s="2538"/>
      <c r="R715" s="2538"/>
      <c r="S715" s="2538"/>
      <c r="T715" s="2538"/>
      <c r="U715" s="2538"/>
      <c r="V715" s="2538"/>
      <c r="W715" s="2538"/>
      <c r="X715" s="2538"/>
      <c r="Y715" s="2538"/>
      <c r="Z715" s="2538"/>
      <c r="AA715" s="2538"/>
      <c r="AB715" s="2538"/>
      <c r="AC715" s="536"/>
      <c r="AD715" s="536"/>
      <c r="AE715" s="536"/>
      <c r="AF715" s="2446" t="s">
        <v>1351</v>
      </c>
      <c r="AG715" s="2446"/>
      <c r="AH715" s="2446"/>
      <c r="AI715" s="2446"/>
      <c r="AJ715" s="2446"/>
      <c r="AK715" s="2446"/>
      <c r="AL715" s="2446"/>
      <c r="AM715" s="550"/>
      <c r="AN715" s="684"/>
      <c r="AP715" s="570" t="s">
        <v>1431</v>
      </c>
    </row>
    <row r="716" spans="1:43" s="570" customFormat="1" ht="11.85" customHeight="1">
      <c r="A716" s="550"/>
      <c r="B716" s="536"/>
      <c r="C716" s="932"/>
      <c r="D716" s="663"/>
      <c r="E716" s="2538"/>
      <c r="F716" s="2538"/>
      <c r="G716" s="2538"/>
      <c r="H716" s="2538"/>
      <c r="I716" s="2538"/>
      <c r="J716" s="2538"/>
      <c r="K716" s="2538"/>
      <c r="L716" s="2538"/>
      <c r="M716" s="2538"/>
      <c r="N716" s="2538"/>
      <c r="O716" s="2538"/>
      <c r="P716" s="2538"/>
      <c r="Q716" s="2538"/>
      <c r="R716" s="2538"/>
      <c r="S716" s="2538"/>
      <c r="T716" s="2538"/>
      <c r="U716" s="2538"/>
      <c r="V716" s="2538"/>
      <c r="W716" s="2538"/>
      <c r="X716" s="2538"/>
      <c r="Y716" s="2538"/>
      <c r="Z716" s="2538"/>
      <c r="AA716" s="2538"/>
      <c r="AB716" s="2538"/>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0"/>
      <c r="D717" s="663"/>
      <c r="E717" s="2538"/>
      <c r="F717" s="2538"/>
      <c r="G717" s="2538"/>
      <c r="H717" s="2538"/>
      <c r="I717" s="2538"/>
      <c r="J717" s="2538"/>
      <c r="K717" s="2538"/>
      <c r="L717" s="2538"/>
      <c r="M717" s="2538"/>
      <c r="N717" s="2538"/>
      <c r="O717" s="2538"/>
      <c r="P717" s="2538"/>
      <c r="Q717" s="2538"/>
      <c r="R717" s="2538"/>
      <c r="S717" s="2538"/>
      <c r="T717" s="2538"/>
      <c r="U717" s="2538"/>
      <c r="V717" s="2538"/>
      <c r="W717" s="2538"/>
      <c r="X717" s="2538"/>
      <c r="Y717" s="2538"/>
      <c r="Z717" s="2538"/>
      <c r="AA717" s="2538"/>
      <c r="AB717" s="2538"/>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0"/>
      <c r="D718" s="663"/>
      <c r="E718" s="935"/>
      <c r="F718" s="935"/>
      <c r="G718" s="935"/>
      <c r="H718" s="935"/>
      <c r="I718" s="935"/>
      <c r="J718" s="935"/>
      <c r="K718" s="935"/>
      <c r="L718" s="935"/>
      <c r="M718" s="935"/>
      <c r="N718" s="935"/>
      <c r="O718" s="935"/>
      <c r="P718" s="935"/>
      <c r="Q718" s="935"/>
      <c r="R718" s="935"/>
      <c r="S718" s="935"/>
      <c r="T718" s="935"/>
      <c r="U718" s="935"/>
      <c r="V718" s="935"/>
      <c r="W718" s="935"/>
      <c r="X718" s="935"/>
      <c r="Y718" s="935"/>
      <c r="Z718" s="935"/>
      <c r="AA718" s="935"/>
      <c r="AB718" s="935"/>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0"/>
      <c r="D719" s="663" t="s">
        <v>509</v>
      </c>
      <c r="E719" s="2539" t="s">
        <v>1434</v>
      </c>
      <c r="F719" s="2539"/>
      <c r="G719" s="2539"/>
      <c r="H719" s="2539"/>
      <c r="I719" s="2539"/>
      <c r="J719" s="2539"/>
      <c r="K719" s="2539"/>
      <c r="L719" s="2539"/>
      <c r="M719" s="2539"/>
      <c r="N719" s="2539"/>
      <c r="O719" s="2539"/>
      <c r="P719" s="2539"/>
      <c r="Q719" s="2539"/>
      <c r="R719" s="2539"/>
      <c r="S719" s="2539"/>
      <c r="T719" s="2539"/>
      <c r="U719" s="2539"/>
      <c r="V719" s="2539"/>
      <c r="W719" s="2539"/>
      <c r="X719" s="2539"/>
      <c r="Y719" s="2539"/>
      <c r="Z719" s="2539"/>
      <c r="AA719" s="2539"/>
      <c r="AB719" s="2539"/>
      <c r="AC719" s="536"/>
      <c r="AD719" s="536"/>
      <c r="AE719" s="536"/>
      <c r="AF719" s="2446" t="s">
        <v>1407</v>
      </c>
      <c r="AG719" s="2446"/>
      <c r="AH719" s="2446"/>
      <c r="AI719" s="2446"/>
      <c r="AJ719" s="2446"/>
      <c r="AK719" s="2446"/>
      <c r="AL719" s="2446"/>
      <c r="AM719" s="550"/>
      <c r="AN719" s="685"/>
    </row>
    <row r="720" spans="1:43" s="570" customFormat="1" ht="12.75" customHeight="1">
      <c r="A720" s="550"/>
      <c r="B720" s="536"/>
      <c r="C720" s="932"/>
      <c r="D720" s="536"/>
      <c r="E720" s="2539"/>
      <c r="F720" s="2539"/>
      <c r="G720" s="2539"/>
      <c r="H720" s="2539"/>
      <c r="I720" s="2539"/>
      <c r="J720" s="2539"/>
      <c r="K720" s="2539"/>
      <c r="L720" s="2539"/>
      <c r="M720" s="2539"/>
      <c r="N720" s="2539"/>
      <c r="O720" s="2539"/>
      <c r="P720" s="2539"/>
      <c r="Q720" s="2539"/>
      <c r="R720" s="2539"/>
      <c r="S720" s="2539"/>
      <c r="T720" s="2539"/>
      <c r="U720" s="2539"/>
      <c r="V720" s="2539"/>
      <c r="W720" s="2539"/>
      <c r="X720" s="2539"/>
      <c r="Y720" s="2539"/>
      <c r="Z720" s="2539"/>
      <c r="AA720" s="2539"/>
      <c r="AB720" s="2539"/>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2"/>
      <c r="D721" s="536"/>
      <c r="E721" s="2539"/>
      <c r="F721" s="2539"/>
      <c r="G721" s="2539"/>
      <c r="H721" s="2539"/>
      <c r="I721" s="2539"/>
      <c r="J721" s="2539"/>
      <c r="K721" s="2539"/>
      <c r="L721" s="2539"/>
      <c r="M721" s="2539"/>
      <c r="N721" s="2539"/>
      <c r="O721" s="2539"/>
      <c r="P721" s="2539"/>
      <c r="Q721" s="2539"/>
      <c r="R721" s="2539"/>
      <c r="S721" s="2539"/>
      <c r="T721" s="2539"/>
      <c r="U721" s="2539"/>
      <c r="V721" s="2539"/>
      <c r="W721" s="2539"/>
      <c r="X721" s="2539"/>
      <c r="Y721" s="2539"/>
      <c r="Z721" s="2539"/>
      <c r="AA721" s="2539"/>
      <c r="AB721" s="2539"/>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2"/>
      <c r="D722" s="536"/>
      <c r="E722" s="949"/>
      <c r="F722" s="949"/>
      <c r="G722" s="949"/>
      <c r="H722" s="949"/>
      <c r="I722" s="949"/>
      <c r="J722" s="949"/>
      <c r="K722" s="949"/>
      <c r="L722" s="949"/>
      <c r="M722" s="949"/>
      <c r="N722" s="949"/>
      <c r="O722" s="949"/>
      <c r="P722" s="949"/>
      <c r="Q722" s="949"/>
      <c r="R722" s="949"/>
      <c r="S722" s="949"/>
      <c r="T722" s="949"/>
      <c r="U722" s="949"/>
      <c r="V722" s="949"/>
      <c r="W722" s="949"/>
      <c r="X722" s="949"/>
      <c r="Y722" s="949"/>
      <c r="Z722" s="949"/>
      <c r="AA722" s="949"/>
      <c r="AB722" s="949"/>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2"/>
      <c r="D723" s="536" t="s">
        <v>1399</v>
      </c>
      <c r="E723" s="935"/>
      <c r="F723" s="935"/>
      <c r="G723" s="935"/>
      <c r="H723" s="2530" t="s">
        <v>591</v>
      </c>
      <c r="I723" s="2530"/>
      <c r="J723" s="949"/>
      <c r="K723" s="949"/>
      <c r="L723" s="949"/>
      <c r="M723" s="949"/>
      <c r="N723" s="949"/>
      <c r="O723" s="949"/>
      <c r="P723" s="949"/>
      <c r="Q723" s="949"/>
      <c r="R723" s="949"/>
      <c r="S723" s="949"/>
      <c r="T723" s="949"/>
      <c r="U723" s="949"/>
      <c r="V723" s="949"/>
      <c r="W723" s="949"/>
      <c r="X723" s="949"/>
      <c r="Y723" s="949"/>
      <c r="Z723" s="949"/>
      <c r="AA723" s="949"/>
      <c r="AB723" s="949"/>
      <c r="AC723" s="536"/>
      <c r="AD723" s="536"/>
      <c r="AE723" s="536"/>
      <c r="AF723" s="536"/>
      <c r="AG723" s="536"/>
      <c r="AH723" s="536"/>
      <c r="AI723" s="536"/>
      <c r="AJ723" s="536"/>
      <c r="AK723" s="536"/>
      <c r="AL723" s="536"/>
      <c r="AM723" s="550"/>
      <c r="AN723" s="684"/>
    </row>
    <row r="724" spans="1:81" s="570" customFormat="1" ht="14.25" customHeight="1">
      <c r="A724" s="550"/>
      <c r="B724" s="536"/>
      <c r="C724" s="932"/>
      <c r="D724" s="536"/>
      <c r="E724" s="949"/>
      <c r="F724" s="949"/>
      <c r="G724" s="949"/>
      <c r="H724" s="949"/>
      <c r="I724" s="949"/>
      <c r="J724" s="949"/>
      <c r="K724" s="949"/>
      <c r="L724" s="949"/>
      <c r="M724" s="949"/>
      <c r="N724" s="949"/>
      <c r="O724" s="949"/>
      <c r="P724" s="949"/>
      <c r="Q724" s="949"/>
      <c r="R724" s="949"/>
      <c r="S724" s="949"/>
      <c r="T724" s="949"/>
      <c r="U724" s="949"/>
      <c r="V724" s="949"/>
      <c r="W724" s="949"/>
      <c r="X724" s="949"/>
      <c r="Y724" s="949"/>
      <c r="Z724" s="949"/>
      <c r="AA724" s="949"/>
      <c r="AB724" s="949"/>
      <c r="AC724" s="536"/>
      <c r="AD724" s="536"/>
      <c r="AE724" s="536"/>
      <c r="AF724" s="536"/>
      <c r="AG724" s="536"/>
      <c r="AH724" s="536"/>
      <c r="AI724" s="536"/>
      <c r="AJ724" s="536"/>
      <c r="AK724" s="536"/>
      <c r="AL724" s="536"/>
      <c r="AM724" s="550"/>
      <c r="AN724" s="684"/>
    </row>
    <row r="725" spans="1:81" s="570" customFormat="1" ht="12.75" customHeight="1">
      <c r="A725" s="606"/>
      <c r="B725" s="601"/>
      <c r="C725" s="937"/>
      <c r="D725" s="601"/>
      <c r="E725" s="601"/>
      <c r="F725" s="601"/>
      <c r="G725" s="601"/>
      <c r="H725" s="601"/>
      <c r="I725" s="601"/>
      <c r="J725" s="950"/>
      <c r="K725" s="950"/>
      <c r="L725" s="950"/>
      <c r="M725" s="950"/>
      <c r="N725" s="950"/>
      <c r="O725" s="950"/>
      <c r="P725" s="950"/>
      <c r="Q725" s="950"/>
      <c r="R725" s="950"/>
      <c r="S725" s="950"/>
      <c r="T725" s="950"/>
      <c r="U725" s="665"/>
      <c r="V725" s="665"/>
      <c r="W725" s="665"/>
      <c r="X725" s="665"/>
      <c r="Y725" s="938"/>
      <c r="Z725" s="938"/>
      <c r="AA725" s="938"/>
      <c r="AB725" s="601"/>
      <c r="AC725" s="601"/>
      <c r="AD725" s="601"/>
      <c r="AE725" s="601"/>
      <c r="AF725" s="601"/>
      <c r="AG725" s="601"/>
      <c r="AH725" s="601"/>
      <c r="AI725" s="565" t="s">
        <v>1436</v>
      </c>
      <c r="AJ725" s="2481">
        <f>VLOOKUP($H$723,$AP$720:$AQ$722,2,FALSE)</f>
        <v>0</v>
      </c>
      <c r="AK725" s="2483"/>
      <c r="AL725" s="595"/>
      <c r="AM725" s="550"/>
      <c r="AN725" s="684"/>
      <c r="AP725" s="2481"/>
      <c r="AQ725" s="2483"/>
    </row>
    <row r="726" spans="1:81" s="570" customFormat="1">
      <c r="A726" s="550"/>
      <c r="B726" s="610"/>
      <c r="C726" s="930"/>
      <c r="D726" s="934"/>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1437</v>
      </c>
      <c r="D727" s="951"/>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0"/>
      <c r="D728" s="934"/>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0"/>
      <c r="D729" s="663" t="s">
        <v>687</v>
      </c>
      <c r="E729" s="2501" t="s">
        <v>1695</v>
      </c>
      <c r="F729" s="2501"/>
      <c r="G729" s="2501"/>
      <c r="H729" s="2501"/>
      <c r="I729" s="2501"/>
      <c r="J729" s="2501"/>
      <c r="K729" s="2501"/>
      <c r="L729" s="2501"/>
      <c r="M729" s="2501"/>
      <c r="N729" s="2501"/>
      <c r="O729" s="2501"/>
      <c r="P729" s="2501"/>
      <c r="Q729" s="2501"/>
      <c r="R729" s="2501"/>
      <c r="S729" s="2501"/>
      <c r="T729" s="2501"/>
      <c r="U729" s="2501"/>
      <c r="V729" s="2501"/>
      <c r="W729" s="2501"/>
      <c r="X729" s="2501"/>
      <c r="Y729" s="2501"/>
      <c r="Z729" s="2501"/>
      <c r="AA729" s="2501"/>
      <c r="AB729" s="2501"/>
      <c r="AC729" s="536"/>
      <c r="AD729" s="536"/>
      <c r="AE729" s="536"/>
      <c r="AF729" s="2446" t="s">
        <v>1351</v>
      </c>
      <c r="AG729" s="2446"/>
      <c r="AH729" s="2446"/>
      <c r="AI729" s="2446"/>
      <c r="AJ729" s="2446"/>
      <c r="AK729" s="2446"/>
      <c r="AL729" s="2446"/>
      <c r="AM729" s="550"/>
      <c r="AN729" s="684"/>
      <c r="AT729" s="14"/>
      <c r="AU729" s="14"/>
      <c r="AV729" s="14"/>
      <c r="AW729" s="14"/>
      <c r="AX729" s="14"/>
      <c r="AY729" s="14"/>
      <c r="AZ729" s="14"/>
    </row>
    <row r="730" spans="1:81" s="570" customFormat="1">
      <c r="A730" s="550"/>
      <c r="B730" s="536"/>
      <c r="C730" s="932"/>
      <c r="D730" s="663"/>
      <c r="E730" s="2501"/>
      <c r="F730" s="2501"/>
      <c r="G730" s="2501"/>
      <c r="H730" s="2501"/>
      <c r="I730" s="2501"/>
      <c r="J730" s="2501"/>
      <c r="K730" s="2501"/>
      <c r="L730" s="2501"/>
      <c r="M730" s="2501"/>
      <c r="N730" s="2501"/>
      <c r="O730" s="2501"/>
      <c r="P730" s="2501"/>
      <c r="Q730" s="2501"/>
      <c r="R730" s="2501"/>
      <c r="S730" s="2501"/>
      <c r="T730" s="2501"/>
      <c r="U730" s="2501"/>
      <c r="V730" s="2501"/>
      <c r="W730" s="2501"/>
      <c r="X730" s="2501"/>
      <c r="Y730" s="2501"/>
      <c r="Z730" s="2501"/>
      <c r="AA730" s="2501"/>
      <c r="AB730" s="2501"/>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0"/>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0"/>
      <c r="D732" s="663" t="s">
        <v>509</v>
      </c>
      <c r="E732" s="2501" t="s">
        <v>1438</v>
      </c>
      <c r="F732" s="2501"/>
      <c r="G732" s="2501"/>
      <c r="H732" s="2501"/>
      <c r="I732" s="2501"/>
      <c r="J732" s="2501"/>
      <c r="K732" s="2501"/>
      <c r="L732" s="2501"/>
      <c r="M732" s="2501"/>
      <c r="N732" s="2501"/>
      <c r="O732" s="2501"/>
      <c r="P732" s="2501"/>
      <c r="Q732" s="2501"/>
      <c r="R732" s="2501"/>
      <c r="S732" s="2501"/>
      <c r="T732" s="2501"/>
      <c r="U732" s="2501"/>
      <c r="V732" s="2501"/>
      <c r="W732" s="2501"/>
      <c r="X732" s="2501"/>
      <c r="Y732" s="2501"/>
      <c r="Z732" s="2501"/>
      <c r="AA732" s="2501"/>
      <c r="AB732" s="2501"/>
      <c r="AC732" s="536"/>
      <c r="AD732" s="536"/>
      <c r="AE732" s="536"/>
      <c r="AF732" s="2446" t="s">
        <v>1407</v>
      </c>
      <c r="AG732" s="2446"/>
      <c r="AH732" s="2446"/>
      <c r="AI732" s="2446"/>
      <c r="AJ732" s="2446"/>
      <c r="AK732" s="2446"/>
      <c r="AL732" s="2446"/>
      <c r="AM732" s="550"/>
      <c r="AN732" s="684"/>
      <c r="AT732" s="14"/>
      <c r="AU732" s="14"/>
      <c r="AV732" s="14"/>
      <c r="AW732" s="14"/>
      <c r="AX732" s="14"/>
      <c r="AY732" s="14"/>
      <c r="AZ732" s="14"/>
    </row>
    <row r="733" spans="1:81" s="570" customFormat="1">
      <c r="A733" s="550"/>
      <c r="B733" s="536"/>
      <c r="C733" s="932"/>
      <c r="D733" s="536"/>
      <c r="E733" s="2501"/>
      <c r="F733" s="2501"/>
      <c r="G733" s="2501"/>
      <c r="H733" s="2501"/>
      <c r="I733" s="2501"/>
      <c r="J733" s="2501"/>
      <c r="K733" s="2501"/>
      <c r="L733" s="2501"/>
      <c r="M733" s="2501"/>
      <c r="N733" s="2501"/>
      <c r="O733" s="2501"/>
      <c r="P733" s="2501"/>
      <c r="Q733" s="2501"/>
      <c r="R733" s="2501"/>
      <c r="S733" s="2501"/>
      <c r="T733" s="2501"/>
      <c r="U733" s="2501"/>
      <c r="V733" s="2501"/>
      <c r="W733" s="2501"/>
      <c r="X733" s="2501"/>
      <c r="Y733" s="2501"/>
      <c r="Z733" s="2501"/>
      <c r="AA733" s="2501"/>
      <c r="AB733" s="2501"/>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2"/>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2"/>
      <c r="D735" s="536" t="s">
        <v>1399</v>
      </c>
      <c r="E735" s="935"/>
      <c r="F735" s="935"/>
      <c r="G735" s="935"/>
      <c r="H735" s="2530" t="s">
        <v>591</v>
      </c>
      <c r="I735" s="2530"/>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2"/>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7"/>
      <c r="D737" s="601"/>
      <c r="E737" s="948"/>
      <c r="F737" s="948"/>
      <c r="G737" s="948"/>
      <c r="H737" s="948"/>
      <c r="I737" s="948"/>
      <c r="J737" s="948"/>
      <c r="K737" s="948"/>
      <c r="L737" s="948"/>
      <c r="M737" s="948"/>
      <c r="N737" s="948"/>
      <c r="O737" s="948"/>
      <c r="P737" s="948"/>
      <c r="Q737" s="948"/>
      <c r="R737" s="948"/>
      <c r="S737" s="948"/>
      <c r="T737" s="948"/>
      <c r="U737" s="948"/>
      <c r="V737" s="665"/>
      <c r="W737" s="665"/>
      <c r="X737" s="665"/>
      <c r="Y737" s="938"/>
      <c r="Z737" s="938"/>
      <c r="AA737" s="938"/>
      <c r="AB737" s="601"/>
      <c r="AC737" s="601"/>
      <c r="AD737" s="601"/>
      <c r="AE737" s="601"/>
      <c r="AF737" s="601"/>
      <c r="AG737" s="601"/>
      <c r="AH737" s="601"/>
      <c r="AI737" s="565" t="s">
        <v>1439</v>
      </c>
      <c r="AJ737" s="2481">
        <f>VLOOKUP($H$735,$AO$666:$AP$668,2,FALSE)</f>
        <v>0</v>
      </c>
      <c r="AK737" s="2483"/>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2"/>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2"/>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0"/>
      <c r="D741" s="663" t="s">
        <v>687</v>
      </c>
      <c r="E741" s="2501" t="s">
        <v>1441</v>
      </c>
      <c r="F741" s="2501"/>
      <c r="G741" s="2501"/>
      <c r="H741" s="2501"/>
      <c r="I741" s="2501"/>
      <c r="J741" s="2501"/>
      <c r="K741" s="2501"/>
      <c r="L741" s="2501"/>
      <c r="M741" s="2501"/>
      <c r="N741" s="2501"/>
      <c r="O741" s="2501"/>
      <c r="P741" s="2501"/>
      <c r="Q741" s="2501"/>
      <c r="R741" s="2501"/>
      <c r="S741" s="2501"/>
      <c r="T741" s="2501"/>
      <c r="U741" s="2501"/>
      <c r="V741" s="2501"/>
      <c r="W741" s="2501"/>
      <c r="X741" s="2501"/>
      <c r="Y741" s="2501"/>
      <c r="Z741" s="2501"/>
      <c r="AA741" s="2501"/>
      <c r="AB741" s="2501"/>
      <c r="AC741" s="536"/>
      <c r="AD741" s="536"/>
      <c r="AE741" s="536"/>
      <c r="AF741" s="2446" t="s">
        <v>1351</v>
      </c>
      <c r="AG741" s="2446"/>
      <c r="AH741" s="2446"/>
      <c r="AI741" s="2446"/>
      <c r="AJ741" s="2446"/>
      <c r="AK741" s="2446"/>
      <c r="AL741" s="2446"/>
      <c r="AM741" s="550"/>
      <c r="AN741" s="684"/>
      <c r="AT741" s="14"/>
      <c r="AU741" s="14"/>
      <c r="AV741" s="14"/>
      <c r="AW741" s="14"/>
      <c r="AX741" s="14"/>
      <c r="AY741" s="14"/>
      <c r="AZ741" s="14"/>
    </row>
    <row r="742" spans="1:81" s="570" customFormat="1">
      <c r="A742" s="550"/>
      <c r="B742" s="536"/>
      <c r="C742" s="930"/>
      <c r="D742" s="663"/>
      <c r="E742" s="2501"/>
      <c r="F742" s="2501"/>
      <c r="G742" s="2501"/>
      <c r="H742" s="2501"/>
      <c r="I742" s="2501"/>
      <c r="J742" s="2501"/>
      <c r="K742" s="2501"/>
      <c r="L742" s="2501"/>
      <c r="M742" s="2501"/>
      <c r="N742" s="2501"/>
      <c r="O742" s="2501"/>
      <c r="P742" s="2501"/>
      <c r="Q742" s="2501"/>
      <c r="R742" s="2501"/>
      <c r="S742" s="2501"/>
      <c r="T742" s="2501"/>
      <c r="U742" s="2501"/>
      <c r="V742" s="2501"/>
      <c r="W742" s="2501"/>
      <c r="X742" s="2501"/>
      <c r="Y742" s="2501"/>
      <c r="Z742" s="2501"/>
      <c r="AA742" s="2501"/>
      <c r="AB742" s="2501"/>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2"/>
      <c r="D743" s="663"/>
      <c r="E743" s="2501"/>
      <c r="F743" s="2501"/>
      <c r="G743" s="2501"/>
      <c r="H743" s="2501"/>
      <c r="I743" s="2501"/>
      <c r="J743" s="2501"/>
      <c r="K743" s="2501"/>
      <c r="L743" s="2501"/>
      <c r="M743" s="2501"/>
      <c r="N743" s="2501"/>
      <c r="O743" s="2501"/>
      <c r="P743" s="2501"/>
      <c r="Q743" s="2501"/>
      <c r="R743" s="2501"/>
      <c r="S743" s="2501"/>
      <c r="T743" s="2501"/>
      <c r="U743" s="2501"/>
      <c r="V743" s="2501"/>
      <c r="W743" s="2501"/>
      <c r="X743" s="2501"/>
      <c r="Y743" s="2501"/>
      <c r="Z743" s="2501"/>
      <c r="AA743" s="2501"/>
      <c r="AB743" s="2501"/>
      <c r="AC743" s="536"/>
      <c r="AD743" s="536"/>
      <c r="AE743" s="536"/>
      <c r="AF743" s="536"/>
      <c r="AG743" s="536"/>
      <c r="AH743" s="536"/>
      <c r="AI743" s="536"/>
      <c r="AJ743" s="536"/>
      <c r="AK743" s="536"/>
      <c r="AL743" s="536"/>
      <c r="AM743" s="550"/>
      <c r="AN743" s="684"/>
    </row>
    <row r="744" spans="1:81" s="570" customFormat="1" ht="12.75" customHeight="1">
      <c r="A744" s="550"/>
      <c r="B744" s="536"/>
      <c r="C744" s="932"/>
      <c r="D744" s="663"/>
      <c r="E744" s="2501"/>
      <c r="F744" s="2501"/>
      <c r="G744" s="2501"/>
      <c r="H744" s="2501"/>
      <c r="I744" s="2501"/>
      <c r="J744" s="2501"/>
      <c r="K744" s="2501"/>
      <c r="L744" s="2501"/>
      <c r="M744" s="2501"/>
      <c r="N744" s="2501"/>
      <c r="O744" s="2501"/>
      <c r="P744" s="2501"/>
      <c r="Q744" s="2501"/>
      <c r="R744" s="2501"/>
      <c r="S744" s="2501"/>
      <c r="T744" s="2501"/>
      <c r="U744" s="2501"/>
      <c r="V744" s="2501"/>
      <c r="W744" s="2501"/>
      <c r="X744" s="2501"/>
      <c r="Y744" s="2501"/>
      <c r="Z744" s="2501"/>
      <c r="AA744" s="2501"/>
      <c r="AB744" s="2501"/>
      <c r="AC744" s="536"/>
      <c r="AD744" s="536"/>
      <c r="AE744" s="536"/>
      <c r="AF744" s="536"/>
      <c r="AG744" s="536"/>
      <c r="AH744" s="536"/>
      <c r="AI744" s="536"/>
      <c r="AJ744" s="536"/>
      <c r="AK744" s="536"/>
      <c r="AL744" s="536"/>
      <c r="AM744" s="550"/>
      <c r="AN744" s="534"/>
      <c r="AO744" s="14"/>
    </row>
    <row r="745" spans="1:81" s="570" customFormat="1">
      <c r="A745" s="679"/>
      <c r="B745" s="595"/>
      <c r="C745" s="930"/>
      <c r="D745" s="663"/>
      <c r="E745" s="945"/>
      <c r="F745" s="945"/>
      <c r="G745" s="945"/>
      <c r="H745" s="945"/>
      <c r="I745" s="945"/>
      <c r="J745" s="945"/>
      <c r="K745" s="945"/>
      <c r="L745" s="945"/>
      <c r="M745" s="945"/>
      <c r="N745" s="945"/>
      <c r="O745" s="945"/>
      <c r="P745" s="945"/>
      <c r="Q745" s="945"/>
      <c r="R745" s="945"/>
      <c r="S745" s="945"/>
      <c r="T745" s="945"/>
      <c r="U745" s="945"/>
      <c r="V745" s="945"/>
      <c r="W745" s="945"/>
      <c r="X745" s="945"/>
      <c r="Y745" s="945"/>
      <c r="Z745" s="945"/>
      <c r="AA745" s="945"/>
      <c r="AB745" s="945"/>
      <c r="AC745" s="536"/>
      <c r="AD745" s="536"/>
      <c r="AE745" s="536"/>
      <c r="AF745" s="536"/>
      <c r="AG745" s="536"/>
      <c r="AH745" s="536"/>
      <c r="AI745" s="536"/>
      <c r="AJ745" s="536"/>
      <c r="AK745" s="536"/>
      <c r="AL745" s="536"/>
      <c r="AM745" s="550"/>
      <c r="AN745" s="684"/>
      <c r="AO745" s="30"/>
      <c r="AP745" s="14"/>
    </row>
    <row r="746" spans="1:81" s="570" customFormat="1">
      <c r="A746" s="550"/>
      <c r="B746" s="536"/>
      <c r="C746" s="930"/>
      <c r="D746" s="663" t="s">
        <v>509</v>
      </c>
      <c r="E746" s="2501" t="s">
        <v>1442</v>
      </c>
      <c r="F746" s="2501"/>
      <c r="G746" s="2501"/>
      <c r="H746" s="2501"/>
      <c r="I746" s="2501"/>
      <c r="J746" s="2501"/>
      <c r="K746" s="2501"/>
      <c r="L746" s="2501"/>
      <c r="M746" s="2501"/>
      <c r="N746" s="2501"/>
      <c r="O746" s="2501"/>
      <c r="P746" s="2501"/>
      <c r="Q746" s="2501"/>
      <c r="R746" s="2501"/>
      <c r="S746" s="2501"/>
      <c r="T746" s="2501"/>
      <c r="U746" s="2501"/>
      <c r="V746" s="2501"/>
      <c r="W746" s="2501"/>
      <c r="X746" s="2501"/>
      <c r="Y746" s="2501"/>
      <c r="Z746" s="2501"/>
      <c r="AA746" s="2501"/>
      <c r="AB746" s="575"/>
      <c r="AC746" s="536"/>
      <c r="AD746" s="536"/>
      <c r="AE746" s="536"/>
      <c r="AF746" s="2446" t="s">
        <v>1407</v>
      </c>
      <c r="AG746" s="2446"/>
      <c r="AH746" s="2446"/>
      <c r="AI746" s="2446"/>
      <c r="AJ746" s="2446"/>
      <c r="AK746" s="2446"/>
      <c r="AL746" s="2446"/>
      <c r="AM746" s="550"/>
      <c r="AN746" s="684"/>
      <c r="AO746" s="30"/>
      <c r="AP746" s="14"/>
    </row>
    <row r="747" spans="1:81" s="570" customFormat="1">
      <c r="A747" s="550"/>
      <c r="B747" s="536"/>
      <c r="C747" s="930"/>
      <c r="D747" s="663"/>
      <c r="E747" s="2501"/>
      <c r="F747" s="2501"/>
      <c r="G747" s="2501"/>
      <c r="H747" s="2501"/>
      <c r="I747" s="2501"/>
      <c r="J747" s="2501"/>
      <c r="K747" s="2501"/>
      <c r="L747" s="2501"/>
      <c r="M747" s="2501"/>
      <c r="N747" s="2501"/>
      <c r="O747" s="2501"/>
      <c r="P747" s="2501"/>
      <c r="Q747" s="2501"/>
      <c r="R747" s="2501"/>
      <c r="S747" s="2501"/>
      <c r="T747" s="2501"/>
      <c r="U747" s="2501"/>
      <c r="V747" s="2501"/>
      <c r="W747" s="2501"/>
      <c r="X747" s="2501"/>
      <c r="Y747" s="2501"/>
      <c r="Z747" s="2501"/>
      <c r="AA747" s="2501"/>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0"/>
      <c r="D748" s="536"/>
      <c r="E748" s="2501"/>
      <c r="F748" s="2501"/>
      <c r="G748" s="2501"/>
      <c r="H748" s="2501"/>
      <c r="I748" s="2501"/>
      <c r="J748" s="2501"/>
      <c r="K748" s="2501"/>
      <c r="L748" s="2501"/>
      <c r="M748" s="2501"/>
      <c r="N748" s="2501"/>
      <c r="O748" s="2501"/>
      <c r="P748" s="2501"/>
      <c r="Q748" s="2501"/>
      <c r="R748" s="2501"/>
      <c r="S748" s="2501"/>
      <c r="T748" s="2501"/>
      <c r="U748" s="2501"/>
      <c r="V748" s="2501"/>
      <c r="W748" s="2501"/>
      <c r="X748" s="2501"/>
      <c r="Y748" s="2501"/>
      <c r="Z748" s="2501"/>
      <c r="AA748" s="2501"/>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0"/>
      <c r="D749" s="536"/>
      <c r="E749" s="2501"/>
      <c r="F749" s="2501"/>
      <c r="G749" s="2501"/>
      <c r="H749" s="2501"/>
      <c r="I749" s="2501"/>
      <c r="J749" s="2501"/>
      <c r="K749" s="2501"/>
      <c r="L749" s="2501"/>
      <c r="M749" s="2501"/>
      <c r="N749" s="2501"/>
      <c r="O749" s="2501"/>
      <c r="P749" s="2501"/>
      <c r="Q749" s="2501"/>
      <c r="R749" s="2501"/>
      <c r="S749" s="2501"/>
      <c r="T749" s="2501"/>
      <c r="U749" s="2501"/>
      <c r="V749" s="2501"/>
      <c r="W749" s="2501"/>
      <c r="X749" s="2501"/>
      <c r="Y749" s="2501"/>
      <c r="Z749" s="2501"/>
      <c r="AA749" s="2501"/>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0"/>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0"/>
      <c r="D751" s="536" t="s">
        <v>1399</v>
      </c>
      <c r="E751" s="935"/>
      <c r="F751" s="935"/>
      <c r="G751" s="935"/>
      <c r="H751" s="2530" t="s">
        <v>509</v>
      </c>
      <c r="I751" s="2530"/>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0"/>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3"/>
      <c r="D753" s="601"/>
      <c r="E753" s="953"/>
      <c r="F753" s="953"/>
      <c r="G753" s="953"/>
      <c r="H753" s="953"/>
      <c r="I753" s="953"/>
      <c r="J753" s="953"/>
      <c r="K753" s="953"/>
      <c r="L753" s="953"/>
      <c r="M753" s="953"/>
      <c r="N753" s="953"/>
      <c r="O753" s="953"/>
      <c r="P753" s="953"/>
      <c r="Q753" s="953"/>
      <c r="R753" s="953"/>
      <c r="S753" s="953"/>
      <c r="T753" s="953"/>
      <c r="U753" s="953"/>
      <c r="V753" s="953"/>
      <c r="W753" s="953"/>
      <c r="X753" s="953"/>
      <c r="Y753" s="953"/>
      <c r="Z753" s="953"/>
      <c r="AA753" s="953"/>
      <c r="AB753" s="687"/>
      <c r="AC753" s="687"/>
      <c r="AD753" s="687"/>
      <c r="AE753" s="687"/>
      <c r="AF753" s="687"/>
      <c r="AG753" s="687"/>
      <c r="AH753" s="601"/>
      <c r="AI753" s="565" t="s">
        <v>1443</v>
      </c>
      <c r="AJ753" s="2481">
        <f>VLOOKUP($H$751,$AO$680:$AP$682,2,FALSE)</f>
        <v>2</v>
      </c>
      <c r="AK753" s="2483"/>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2"/>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5"/>
      <c r="AA754" s="935"/>
      <c r="AB754" s="935"/>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0"/>
      <c r="D757" s="663" t="s">
        <v>687</v>
      </c>
      <c r="E757" s="2501" t="s">
        <v>1444</v>
      </c>
      <c r="F757" s="2501"/>
      <c r="G757" s="2501"/>
      <c r="H757" s="2501"/>
      <c r="I757" s="2501"/>
      <c r="J757" s="2501"/>
      <c r="K757" s="2501"/>
      <c r="L757" s="2501"/>
      <c r="M757" s="2501"/>
      <c r="N757" s="2501"/>
      <c r="O757" s="2501"/>
      <c r="P757" s="2501"/>
      <c r="Q757" s="2501"/>
      <c r="R757" s="2501"/>
      <c r="S757" s="2501"/>
      <c r="T757" s="2501"/>
      <c r="U757" s="2501"/>
      <c r="V757" s="2501"/>
      <c r="W757" s="2501"/>
      <c r="X757" s="2501"/>
      <c r="Y757" s="2501"/>
      <c r="Z757" s="2501"/>
      <c r="AA757" s="2501"/>
      <c r="AB757" s="2501"/>
      <c r="AC757" s="536"/>
      <c r="AD757" s="536"/>
      <c r="AE757" s="536"/>
      <c r="AF757" s="2446" t="s">
        <v>1407</v>
      </c>
      <c r="AG757" s="2446"/>
      <c r="AH757" s="2446"/>
      <c r="AI757" s="2446"/>
      <c r="AJ757" s="2446"/>
      <c r="AK757" s="2446"/>
      <c r="AL757" s="2446"/>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2"/>
      <c r="D758" s="663"/>
      <c r="E758" s="2501"/>
      <c r="F758" s="2501"/>
      <c r="G758" s="2501"/>
      <c r="H758" s="2501"/>
      <c r="I758" s="2501"/>
      <c r="J758" s="2501"/>
      <c r="K758" s="2501"/>
      <c r="L758" s="2501"/>
      <c r="M758" s="2501"/>
      <c r="N758" s="2501"/>
      <c r="O758" s="2501"/>
      <c r="P758" s="2501"/>
      <c r="Q758" s="2501"/>
      <c r="R758" s="2501"/>
      <c r="S758" s="2501"/>
      <c r="T758" s="2501"/>
      <c r="U758" s="2501"/>
      <c r="V758" s="2501"/>
      <c r="W758" s="2501"/>
      <c r="X758" s="2501"/>
      <c r="Y758" s="2501"/>
      <c r="Z758" s="2501"/>
      <c r="AA758" s="2501"/>
      <c r="AB758" s="2501"/>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39"/>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0"/>
      <c r="D760" s="663" t="s">
        <v>509</v>
      </c>
      <c r="E760" s="2501" t="s">
        <v>1445</v>
      </c>
      <c r="F760" s="2501"/>
      <c r="G760" s="2501"/>
      <c r="H760" s="2501"/>
      <c r="I760" s="2501"/>
      <c r="J760" s="2501"/>
      <c r="K760" s="2501"/>
      <c r="L760" s="2501"/>
      <c r="M760" s="2501"/>
      <c r="N760" s="2501"/>
      <c r="O760" s="2501"/>
      <c r="P760" s="2501"/>
      <c r="Q760" s="2501"/>
      <c r="R760" s="2501"/>
      <c r="S760" s="2501"/>
      <c r="T760" s="2501"/>
      <c r="U760" s="2501"/>
      <c r="V760" s="2501"/>
      <c r="W760" s="2501"/>
      <c r="X760" s="2501"/>
      <c r="Y760" s="2501"/>
      <c r="Z760" s="2501"/>
      <c r="AA760" s="2501"/>
      <c r="AB760" s="2501"/>
      <c r="AC760" s="536"/>
      <c r="AD760" s="536"/>
      <c r="AE760" s="536"/>
      <c r="AF760" s="2446" t="s">
        <v>1424</v>
      </c>
      <c r="AG760" s="2446"/>
      <c r="AH760" s="2446"/>
      <c r="AI760" s="2446"/>
      <c r="AJ760" s="2446"/>
      <c r="AK760" s="2446"/>
      <c r="AL760" s="2446"/>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0"/>
      <c r="D761" s="663"/>
      <c r="E761" s="2501"/>
      <c r="F761" s="2501"/>
      <c r="G761" s="2501"/>
      <c r="H761" s="2501"/>
      <c r="I761" s="2501"/>
      <c r="J761" s="2501"/>
      <c r="K761" s="2501"/>
      <c r="L761" s="2501"/>
      <c r="M761" s="2501"/>
      <c r="N761" s="2501"/>
      <c r="O761" s="2501"/>
      <c r="P761" s="2501"/>
      <c r="Q761" s="2501"/>
      <c r="R761" s="2501"/>
      <c r="S761" s="2501"/>
      <c r="T761" s="2501"/>
      <c r="U761" s="2501"/>
      <c r="V761" s="2501"/>
      <c r="W761" s="2501"/>
      <c r="X761" s="2501"/>
      <c r="Y761" s="2501"/>
      <c r="Z761" s="2501"/>
      <c r="AA761" s="2501"/>
      <c r="AB761" s="2501"/>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2"/>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5"/>
      <c r="F763" s="935"/>
      <c r="G763" s="935"/>
      <c r="H763" s="2530" t="s">
        <v>509</v>
      </c>
      <c r="I763" s="2530"/>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39"/>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4"/>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81">
        <f>VLOOKUP($H$763,$AO$697:$AP$699,2,FALSE)</f>
        <v>1</v>
      </c>
      <c r="AK765" s="2483"/>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39"/>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39"/>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39"/>
      <c r="D769" s="663" t="s">
        <v>687</v>
      </c>
      <c r="E769" s="2501" t="s">
        <v>1691</v>
      </c>
      <c r="F769" s="2501"/>
      <c r="G769" s="2501"/>
      <c r="H769" s="2501"/>
      <c r="I769" s="2501"/>
      <c r="J769" s="2501"/>
      <c r="K769" s="2501"/>
      <c r="L769" s="2501"/>
      <c r="M769" s="2501"/>
      <c r="N769" s="2501"/>
      <c r="O769" s="2501"/>
      <c r="P769" s="2501"/>
      <c r="Q769" s="2501"/>
      <c r="R769" s="2501"/>
      <c r="S769" s="2501"/>
      <c r="T769" s="2501"/>
      <c r="U769" s="2501"/>
      <c r="V769" s="2501"/>
      <c r="W769" s="2501"/>
      <c r="X769" s="2501"/>
      <c r="Y769" s="2501"/>
      <c r="Z769" s="2501"/>
      <c r="AA769" s="2501"/>
      <c r="AB769" s="2501"/>
      <c r="AC769" s="2501"/>
      <c r="AD769" s="2501"/>
      <c r="AE769" s="536"/>
      <c r="AF769" s="2446" t="s">
        <v>1407</v>
      </c>
      <c r="AG769" s="2446"/>
      <c r="AH769" s="2446"/>
      <c r="AI769" s="2446"/>
      <c r="AJ769" s="2446"/>
      <c r="AK769" s="2446"/>
      <c r="AL769" s="2446"/>
      <c r="AM769" s="613"/>
      <c r="AN769" s="684"/>
      <c r="AO769" s="550" t="s">
        <v>591</v>
      </c>
      <c r="AP769" s="673">
        <v>0</v>
      </c>
    </row>
    <row r="770" spans="1:81" s="570" customFormat="1" ht="13.7" customHeight="1">
      <c r="A770" s="550"/>
      <c r="B770" s="616"/>
      <c r="C770" s="939"/>
      <c r="D770" s="663"/>
      <c r="E770" s="2501"/>
      <c r="F770" s="2501"/>
      <c r="G770" s="2501"/>
      <c r="H770" s="2501"/>
      <c r="I770" s="2501"/>
      <c r="J770" s="2501"/>
      <c r="K770" s="2501"/>
      <c r="L770" s="2501"/>
      <c r="M770" s="2501"/>
      <c r="N770" s="2501"/>
      <c r="O770" s="2501"/>
      <c r="P770" s="2501"/>
      <c r="Q770" s="2501"/>
      <c r="R770" s="2501"/>
      <c r="S770" s="2501"/>
      <c r="T770" s="2501"/>
      <c r="U770" s="2501"/>
      <c r="V770" s="2501"/>
      <c r="W770" s="2501"/>
      <c r="X770" s="2501"/>
      <c r="Y770" s="2501"/>
      <c r="Z770" s="2501"/>
      <c r="AA770" s="2501"/>
      <c r="AB770" s="2501"/>
      <c r="AC770" s="2501"/>
      <c r="AD770" s="2501"/>
      <c r="AE770" s="536"/>
      <c r="AF770" s="594"/>
      <c r="AG770" s="594"/>
      <c r="AH770" s="594"/>
      <c r="AI770" s="594"/>
      <c r="AJ770" s="594"/>
      <c r="AK770" s="594"/>
      <c r="AL770" s="594"/>
      <c r="AM770" s="613"/>
      <c r="AN770" s="684"/>
      <c r="AO770" s="611" t="s">
        <v>687</v>
      </c>
      <c r="AP770" s="550">
        <v>2</v>
      </c>
    </row>
    <row r="771" spans="1:81" s="570" customFormat="1">
      <c r="A771" s="550"/>
      <c r="B771" s="616"/>
      <c r="C771" s="939"/>
      <c r="D771" s="663"/>
      <c r="E771" s="2501"/>
      <c r="F771" s="2501"/>
      <c r="G771" s="2501"/>
      <c r="H771" s="2501"/>
      <c r="I771" s="2501"/>
      <c r="J771" s="2501"/>
      <c r="K771" s="2501"/>
      <c r="L771" s="2501"/>
      <c r="M771" s="2501"/>
      <c r="N771" s="2501"/>
      <c r="O771" s="2501"/>
      <c r="P771" s="2501"/>
      <c r="Q771" s="2501"/>
      <c r="R771" s="2501"/>
      <c r="S771" s="2501"/>
      <c r="T771" s="2501"/>
      <c r="U771" s="2501"/>
      <c r="V771" s="2501"/>
      <c r="W771" s="2501"/>
      <c r="X771" s="2501"/>
      <c r="Y771" s="2501"/>
      <c r="Z771" s="2501"/>
      <c r="AA771" s="2501"/>
      <c r="AB771" s="2501"/>
      <c r="AC771" s="2501"/>
      <c r="AD771" s="2501"/>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39"/>
      <c r="D772" s="663"/>
      <c r="E772" s="2501"/>
      <c r="F772" s="2501"/>
      <c r="G772" s="2501"/>
      <c r="H772" s="2501"/>
      <c r="I772" s="2501"/>
      <c r="J772" s="2501"/>
      <c r="K772" s="2501"/>
      <c r="L772" s="2501"/>
      <c r="M772" s="2501"/>
      <c r="N772" s="2501"/>
      <c r="O772" s="2501"/>
      <c r="P772" s="2501"/>
      <c r="Q772" s="2501"/>
      <c r="R772" s="2501"/>
      <c r="S772" s="2501"/>
      <c r="T772" s="2501"/>
      <c r="U772" s="2501"/>
      <c r="V772" s="2501"/>
      <c r="W772" s="2501"/>
      <c r="X772" s="2501"/>
      <c r="Y772" s="2501"/>
      <c r="Z772" s="2501"/>
      <c r="AA772" s="2501"/>
      <c r="AB772" s="2501"/>
      <c r="AC772" s="2501"/>
      <c r="AD772" s="2501"/>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39"/>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39"/>
      <c r="D774" s="663" t="s">
        <v>509</v>
      </c>
      <c r="E774" s="2540" t="s">
        <v>1696</v>
      </c>
      <c r="F774" s="2540"/>
      <c r="G774" s="2540"/>
      <c r="H774" s="2540"/>
      <c r="I774" s="2540"/>
      <c r="J774" s="2540"/>
      <c r="K774" s="2540"/>
      <c r="L774" s="2540"/>
      <c r="M774" s="2540"/>
      <c r="N774" s="2540"/>
      <c r="O774" s="2540"/>
      <c r="P774" s="2540"/>
      <c r="Q774" s="2540"/>
      <c r="R774" s="2540"/>
      <c r="S774" s="2540"/>
      <c r="T774" s="2540"/>
      <c r="U774" s="2540"/>
      <c r="V774" s="2540"/>
      <c r="W774" s="2540"/>
      <c r="X774" s="2540"/>
      <c r="Y774" s="2540"/>
      <c r="Z774" s="2540"/>
      <c r="AA774" s="2540"/>
      <c r="AB774" s="2540"/>
      <c r="AC774" s="2540"/>
      <c r="AD774" s="2540"/>
      <c r="AE774" s="536"/>
      <c r="AF774" s="2446" t="s">
        <v>1351</v>
      </c>
      <c r="AG774" s="2446"/>
      <c r="AH774" s="2446"/>
      <c r="AI774" s="2446"/>
      <c r="AJ774" s="2446"/>
      <c r="AK774" s="2446"/>
      <c r="AL774" s="2446"/>
      <c r="AM774" s="613"/>
      <c r="AN774" s="597"/>
    </row>
    <row r="775" spans="1:81" s="550" customFormat="1" ht="12.75" customHeight="1">
      <c r="B775" s="616"/>
      <c r="C775" s="939"/>
      <c r="D775" s="663"/>
      <c r="E775" s="2540"/>
      <c r="F775" s="2540"/>
      <c r="G775" s="2540"/>
      <c r="H775" s="2540"/>
      <c r="I775" s="2540"/>
      <c r="J775" s="2540"/>
      <c r="K775" s="2540"/>
      <c r="L775" s="2540"/>
      <c r="M775" s="2540"/>
      <c r="N775" s="2540"/>
      <c r="O775" s="2540"/>
      <c r="P775" s="2540"/>
      <c r="Q775" s="2540"/>
      <c r="R775" s="2540"/>
      <c r="S775" s="2540"/>
      <c r="T775" s="2540"/>
      <c r="U775" s="2540"/>
      <c r="V775" s="2540"/>
      <c r="W775" s="2540"/>
      <c r="X775" s="2540"/>
      <c r="Y775" s="2540"/>
      <c r="Z775" s="2540"/>
      <c r="AA775" s="2540"/>
      <c r="AB775" s="2540"/>
      <c r="AC775" s="2540"/>
      <c r="AD775" s="2540"/>
      <c r="AE775" s="594"/>
      <c r="AF775" s="594"/>
      <c r="AG775" s="594"/>
      <c r="AH775" s="594"/>
      <c r="AI775" s="594"/>
      <c r="AJ775" s="594"/>
      <c r="AK775" s="594"/>
      <c r="AL775" s="594"/>
      <c r="AM775" s="613"/>
      <c r="AN775" s="597"/>
    </row>
    <row r="776" spans="1:81" s="550" customFormat="1" ht="12.75" customHeight="1">
      <c r="B776" s="616"/>
      <c r="C776" s="939"/>
      <c r="D776" s="663"/>
      <c r="E776" s="2540"/>
      <c r="F776" s="2540"/>
      <c r="G776" s="2540"/>
      <c r="H776" s="2540"/>
      <c r="I776" s="2540"/>
      <c r="J776" s="2540"/>
      <c r="K776" s="2540"/>
      <c r="L776" s="2540"/>
      <c r="M776" s="2540"/>
      <c r="N776" s="2540"/>
      <c r="O776" s="2540"/>
      <c r="P776" s="2540"/>
      <c r="Q776" s="2540"/>
      <c r="R776" s="2540"/>
      <c r="S776" s="2540"/>
      <c r="T776" s="2540"/>
      <c r="U776" s="2540"/>
      <c r="V776" s="2540"/>
      <c r="W776" s="2540"/>
      <c r="X776" s="2540"/>
      <c r="Y776" s="2540"/>
      <c r="Z776" s="2540"/>
      <c r="AA776" s="2540"/>
      <c r="AB776" s="2540"/>
      <c r="AC776" s="2540"/>
      <c r="AD776" s="2540"/>
      <c r="AE776" s="594"/>
      <c r="AF776" s="594"/>
      <c r="AG776" s="594"/>
      <c r="AH776" s="594"/>
      <c r="AI776" s="594"/>
      <c r="AJ776" s="594"/>
      <c r="AK776" s="594"/>
      <c r="AL776" s="594"/>
      <c r="AM776" s="613"/>
      <c r="AN776" s="597"/>
    </row>
    <row r="777" spans="1:81" s="550" customFormat="1" ht="12.75" customHeight="1">
      <c r="B777" s="616"/>
      <c r="C777" s="939"/>
      <c r="D777" s="663"/>
      <c r="E777" s="2540"/>
      <c r="F777" s="2540"/>
      <c r="G777" s="2540"/>
      <c r="H777" s="2540"/>
      <c r="I777" s="2540"/>
      <c r="J777" s="2540"/>
      <c r="K777" s="2540"/>
      <c r="L777" s="2540"/>
      <c r="M777" s="2540"/>
      <c r="N777" s="2540"/>
      <c r="O777" s="2540"/>
      <c r="P777" s="2540"/>
      <c r="Q777" s="2540"/>
      <c r="R777" s="2540"/>
      <c r="S777" s="2540"/>
      <c r="T777" s="2540"/>
      <c r="U777" s="2540"/>
      <c r="V777" s="2540"/>
      <c r="W777" s="2540"/>
      <c r="X777" s="2540"/>
      <c r="Y777" s="2540"/>
      <c r="Z777" s="2540"/>
      <c r="AA777" s="2540"/>
      <c r="AB777" s="2540"/>
      <c r="AC777" s="2540"/>
      <c r="AD777" s="254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39"/>
      <c r="D779" s="536" t="s">
        <v>1399</v>
      </c>
      <c r="E779" s="935"/>
      <c r="F779" s="935"/>
      <c r="G779" s="935"/>
      <c r="H779" s="2530" t="s">
        <v>591</v>
      </c>
      <c r="I779" s="2530"/>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39"/>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4"/>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81">
        <f>VLOOKUP($H$779,$AO$769:$AP$771,2,FALSE)</f>
        <v>0</v>
      </c>
      <c r="AK781" s="2483"/>
      <c r="AL781" s="595"/>
      <c r="AN781" s="597"/>
    </row>
    <row r="782" spans="1:81" s="570" customFormat="1">
      <c r="A782" s="550"/>
      <c r="B782" s="616"/>
      <c r="C782" s="939"/>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39"/>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39"/>
      <c r="D785" s="663" t="s">
        <v>687</v>
      </c>
      <c r="E785" s="2501" t="s">
        <v>2032</v>
      </c>
      <c r="F785" s="2501"/>
      <c r="G785" s="2501"/>
      <c r="H785" s="2501"/>
      <c r="I785" s="2501"/>
      <c r="J785" s="2501"/>
      <c r="K785" s="2501"/>
      <c r="L785" s="2501"/>
      <c r="M785" s="2501"/>
      <c r="N785" s="2501"/>
      <c r="O785" s="2501"/>
      <c r="P785" s="2501"/>
      <c r="Q785" s="2501"/>
      <c r="R785" s="2501"/>
      <c r="S785" s="2501"/>
      <c r="T785" s="2501"/>
      <c r="U785" s="2501"/>
      <c r="V785" s="2501"/>
      <c r="W785" s="2501"/>
      <c r="X785" s="2501"/>
      <c r="Y785" s="2501"/>
      <c r="Z785" s="2501"/>
      <c r="AA785" s="2501"/>
      <c r="AB785" s="2501"/>
      <c r="AC785" s="2501"/>
      <c r="AD785" s="2501"/>
      <c r="AE785" s="536"/>
      <c r="AF785" s="2446" t="s">
        <v>1351</v>
      </c>
      <c r="AG785" s="2446"/>
      <c r="AH785" s="2446"/>
      <c r="AI785" s="2446"/>
      <c r="AJ785" s="2446"/>
      <c r="AK785" s="2446"/>
      <c r="AL785" s="2446"/>
      <c r="AM785" s="613"/>
      <c r="AN785" s="684"/>
      <c r="AO785" s="611" t="s">
        <v>545</v>
      </c>
      <c r="AP785" s="550">
        <v>3</v>
      </c>
      <c r="AT785" s="674"/>
      <c r="AU785" s="674"/>
      <c r="AV785" s="674"/>
      <c r="AW785" s="674"/>
      <c r="AX785" s="674"/>
      <c r="AY785" s="674"/>
      <c r="AZ785" s="674"/>
    </row>
    <row r="786" spans="1:81" s="570" customFormat="1" ht="13.7" customHeight="1">
      <c r="A786" s="550"/>
      <c r="B786" s="616"/>
      <c r="C786" s="939"/>
      <c r="D786" s="663"/>
      <c r="E786" s="2501"/>
      <c r="F786" s="2501"/>
      <c r="G786" s="2501"/>
      <c r="H786" s="2501"/>
      <c r="I786" s="2501"/>
      <c r="J786" s="2501"/>
      <c r="K786" s="2501"/>
      <c r="L786" s="2501"/>
      <c r="M786" s="2501"/>
      <c r="N786" s="2501"/>
      <c r="O786" s="2501"/>
      <c r="P786" s="2501"/>
      <c r="Q786" s="2501"/>
      <c r="R786" s="2501"/>
      <c r="S786" s="2501"/>
      <c r="T786" s="2501"/>
      <c r="U786" s="2501"/>
      <c r="V786" s="2501"/>
      <c r="W786" s="2501"/>
      <c r="X786" s="2501"/>
      <c r="Y786" s="2501"/>
      <c r="Z786" s="2501"/>
      <c r="AA786" s="2501"/>
      <c r="AB786" s="2501"/>
      <c r="AC786" s="2501"/>
      <c r="AD786" s="2501"/>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39"/>
      <c r="D787" s="663"/>
      <c r="E787" s="2501"/>
      <c r="F787" s="2501"/>
      <c r="G787" s="2501"/>
      <c r="H787" s="2501"/>
      <c r="I787" s="2501"/>
      <c r="J787" s="2501"/>
      <c r="K787" s="2501"/>
      <c r="L787" s="2501"/>
      <c r="M787" s="2501"/>
      <c r="N787" s="2501"/>
      <c r="O787" s="2501"/>
      <c r="P787" s="2501"/>
      <c r="Q787" s="2501"/>
      <c r="R787" s="2501"/>
      <c r="S787" s="2501"/>
      <c r="T787" s="2501"/>
      <c r="U787" s="2501"/>
      <c r="V787" s="2501"/>
      <c r="W787" s="2501"/>
      <c r="X787" s="2501"/>
      <c r="Y787" s="2501"/>
      <c r="Z787" s="2501"/>
      <c r="AA787" s="2501"/>
      <c r="AB787" s="2501"/>
      <c r="AC787" s="2501"/>
      <c r="AD787" s="2501"/>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39"/>
      <c r="D788" s="663"/>
      <c r="E788" s="2501"/>
      <c r="F788" s="2501"/>
      <c r="G788" s="2501"/>
      <c r="H788" s="2501"/>
      <c r="I788" s="2501"/>
      <c r="J788" s="2501"/>
      <c r="K788" s="2501"/>
      <c r="L788" s="2501"/>
      <c r="M788" s="2501"/>
      <c r="N788" s="2501"/>
      <c r="O788" s="2501"/>
      <c r="P788" s="2501"/>
      <c r="Q788" s="2501"/>
      <c r="R788" s="2501"/>
      <c r="S788" s="2501"/>
      <c r="T788" s="2501"/>
      <c r="U788" s="2501"/>
      <c r="V788" s="2501"/>
      <c r="W788" s="2501"/>
      <c r="X788" s="2501"/>
      <c r="Y788" s="2501"/>
      <c r="Z788" s="2501"/>
      <c r="AA788" s="2501"/>
      <c r="AB788" s="2501"/>
      <c r="AC788" s="2501"/>
      <c r="AD788" s="2501"/>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39"/>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39"/>
      <c r="D790" s="536" t="s">
        <v>1399</v>
      </c>
      <c r="E790" s="935"/>
      <c r="F790" s="935"/>
      <c r="G790" s="935"/>
      <c r="H790" s="2530" t="s">
        <v>591</v>
      </c>
      <c r="I790" s="2530"/>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81">
        <f>VLOOKUP($H$790,$AO$784:$AP$785,2,FALSE)</f>
        <v>0</v>
      </c>
      <c r="AK792" s="2483"/>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81">
        <f>IF(($AJ$621+$AJ$640+$AJ$652+$AJ$687+$AJ$711+$AJ$725+$AJ$737+$AJ$753+$AJ$765+$AJ$781+AJ792)&gt;10,10,($AJ$621+$AJ$640+$AJ$652+$AJ$687+$AJ$711+$AJ$725+$AJ$737+$AJ$753+$AJ$765+$AJ$781+AJ792))</f>
        <v>10</v>
      </c>
      <c r="AL794" s="2482"/>
      <c r="AM794" s="2483"/>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4" t="s">
        <v>1567</v>
      </c>
      <c r="B797" s="2575"/>
      <c r="C797" s="2575"/>
      <c r="D797" s="2575"/>
      <c r="E797" s="2575"/>
      <c r="F797" s="2575"/>
      <c r="G797" s="2575"/>
      <c r="H797" s="2575"/>
      <c r="I797" s="2575"/>
      <c r="J797" s="2575"/>
      <c r="K797" s="2575"/>
      <c r="L797" s="2575"/>
      <c r="M797" s="2575"/>
      <c r="N797" s="2575"/>
      <c r="O797" s="2575"/>
      <c r="P797" s="2575"/>
      <c r="Q797" s="2575"/>
      <c r="R797" s="2575"/>
      <c r="S797" s="2575"/>
      <c r="T797" s="2575"/>
      <c r="U797" s="2575"/>
      <c r="V797" s="2575"/>
      <c r="W797" s="2575"/>
      <c r="X797" s="2575"/>
      <c r="Y797" s="2575"/>
      <c r="Z797" s="2575"/>
      <c r="AA797" s="2575"/>
      <c r="AB797" s="2575"/>
      <c r="AC797" s="2575"/>
      <c r="AD797" s="2575"/>
      <c r="AE797" s="2575"/>
      <c r="AF797" s="2575"/>
      <c r="AG797" s="2575"/>
      <c r="AH797" s="2575"/>
      <c r="AI797" s="2575"/>
      <c r="AJ797" s="2575"/>
      <c r="AK797" s="2575"/>
      <c r="AL797" s="2575"/>
      <c r="AM797" s="2575"/>
    </row>
    <row r="798" spans="1:81">
      <c r="A798" s="2576"/>
      <c r="B798" s="2576"/>
      <c r="C798" s="2576"/>
      <c r="D798" s="2576"/>
      <c r="E798" s="2576"/>
      <c r="F798" s="2576"/>
      <c r="G798" s="2576"/>
      <c r="H798" s="2576"/>
      <c r="I798" s="2576"/>
      <c r="J798" s="2576"/>
      <c r="K798" s="2576"/>
      <c r="L798" s="2576"/>
      <c r="M798" s="2576"/>
      <c r="N798" s="2576"/>
      <c r="O798" s="2576"/>
      <c r="P798" s="2576"/>
      <c r="Q798" s="2576"/>
      <c r="R798" s="2576"/>
      <c r="S798" s="2576"/>
      <c r="T798" s="2576"/>
      <c r="U798" s="2576"/>
      <c r="V798" s="2576"/>
      <c r="W798" s="2576"/>
      <c r="X798" s="2576"/>
      <c r="Y798" s="2576"/>
      <c r="Z798" s="2576"/>
      <c r="AA798" s="2576"/>
      <c r="AB798" s="2576"/>
      <c r="AC798" s="2576"/>
      <c r="AD798" s="2576"/>
      <c r="AE798" s="2576"/>
      <c r="AF798" s="2576"/>
      <c r="AG798" s="2576"/>
      <c r="AH798" s="2576"/>
      <c r="AI798" s="2576"/>
      <c r="AJ798" s="2576"/>
      <c r="AK798" s="2576"/>
      <c r="AL798" s="2576"/>
      <c r="AM798" s="2576"/>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2"/>
      <c r="B800" s="2522"/>
      <c r="C800" s="2522"/>
      <c r="D800" s="2522"/>
      <c r="E800" s="2522"/>
      <c r="F800" s="2522"/>
      <c r="G800" s="2522"/>
      <c r="H800" s="2522"/>
      <c r="I800" s="2522"/>
      <c r="J800" s="2522"/>
      <c r="K800" s="2522"/>
      <c r="L800" s="2522"/>
      <c r="M800" s="2522"/>
      <c r="N800" s="2522"/>
      <c r="O800" s="2522"/>
      <c r="P800" s="2522"/>
      <c r="Q800" s="2522"/>
      <c r="R800" s="2522"/>
      <c r="S800" s="2522"/>
      <c r="T800" s="2522"/>
      <c r="U800" s="2522"/>
      <c r="V800" s="2522"/>
      <c r="W800" s="2522"/>
      <c r="X800" s="2522"/>
      <c r="Y800" s="2522"/>
      <c r="Z800" s="2522"/>
      <c r="AA800" s="2522"/>
      <c r="AB800" s="2522"/>
      <c r="AC800" s="2522"/>
      <c r="AD800" s="2522"/>
      <c r="AE800" s="2522"/>
      <c r="AF800" s="2522"/>
      <c r="AG800" s="2522"/>
      <c r="AH800" s="2522"/>
      <c r="AI800" s="2522"/>
      <c r="AJ800" s="2522"/>
      <c r="AK800" s="2522"/>
      <c r="AL800" s="2522"/>
      <c r="AM800" s="2522"/>
      <c r="AP800" s="816"/>
      <c r="AQ800" s="816"/>
    </row>
    <row r="801" spans="1:81">
      <c r="A801" s="2522"/>
      <c r="B801" s="2522"/>
      <c r="C801" s="2522"/>
      <c r="D801" s="2522"/>
      <c r="E801" s="2522"/>
      <c r="F801" s="2522"/>
      <c r="G801" s="2522"/>
      <c r="H801" s="2522"/>
      <c r="I801" s="2522"/>
      <c r="J801" s="2522"/>
      <c r="K801" s="2522"/>
      <c r="L801" s="2522"/>
      <c r="M801" s="2522"/>
      <c r="N801" s="2522"/>
      <c r="O801" s="2522"/>
      <c r="P801" s="2522"/>
      <c r="Q801" s="2522"/>
      <c r="R801" s="2522"/>
      <c r="S801" s="2522"/>
      <c r="T801" s="2522"/>
      <c r="U801" s="2522"/>
      <c r="V801" s="2522"/>
      <c r="W801" s="2522"/>
      <c r="X801" s="2522"/>
      <c r="Y801" s="2522"/>
      <c r="Z801" s="2522"/>
      <c r="AA801" s="2522"/>
      <c r="AB801" s="2522"/>
      <c r="AC801" s="2522"/>
      <c r="AD801" s="2522"/>
      <c r="AE801" s="2522"/>
      <c r="AF801" s="2522"/>
      <c r="AG801" s="2522"/>
      <c r="AH801" s="2522"/>
      <c r="AI801" s="2522"/>
      <c r="AJ801" s="2522"/>
      <c r="AK801" s="2522"/>
      <c r="AL801" s="2522"/>
      <c r="AM801" s="2522"/>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7" t="s">
        <v>1568</v>
      </c>
      <c r="U802" s="2578"/>
      <c r="V802" s="2578"/>
      <c r="W802" s="2578"/>
      <c r="X802" s="2578"/>
      <c r="Y802" s="2579"/>
      <c r="Z802" s="2577" t="s">
        <v>1569</v>
      </c>
      <c r="AA802" s="2578"/>
      <c r="AB802" s="2578"/>
      <c r="AC802" s="2578"/>
      <c r="AD802" s="2578"/>
      <c r="AE802" s="2579"/>
      <c r="AF802" s="2577" t="s">
        <v>1570</v>
      </c>
      <c r="AG802" s="2578"/>
      <c r="AH802" s="2578"/>
      <c r="AI802" s="2578"/>
      <c r="AJ802" s="2578"/>
      <c r="AK802" s="2579"/>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0"/>
      <c r="U803" s="2581"/>
      <c r="V803" s="2581"/>
      <c r="W803" s="2581"/>
      <c r="X803" s="2581"/>
      <c r="Y803" s="2582"/>
      <c r="Z803" s="2580"/>
      <c r="AA803" s="2581"/>
      <c r="AB803" s="2581"/>
      <c r="AC803" s="2581"/>
      <c r="AD803" s="2581"/>
      <c r="AE803" s="2582"/>
      <c r="AF803" s="2580"/>
      <c r="AG803" s="2581"/>
      <c r="AH803" s="2581"/>
      <c r="AI803" s="2581"/>
      <c r="AJ803" s="2581"/>
      <c r="AK803" s="2582"/>
      <c r="AL803" s="818"/>
      <c r="AM803" s="596"/>
      <c r="AO803" s="816"/>
      <c r="AP803" s="816"/>
      <c r="AQ803" s="816"/>
    </row>
    <row r="804" spans="1:81">
      <c r="A804" s="819" t="s">
        <v>757</v>
      </c>
      <c r="B804" s="2557" t="s">
        <v>1303</v>
      </c>
      <c r="C804" s="2557"/>
      <c r="D804" s="2557"/>
      <c r="E804" s="2557"/>
      <c r="F804" s="2557"/>
      <c r="G804" s="2557"/>
      <c r="H804" s="2557"/>
      <c r="I804" s="2557"/>
      <c r="J804" s="2557"/>
      <c r="K804" s="2557"/>
      <c r="L804" s="2557"/>
      <c r="M804" s="2557"/>
      <c r="N804" s="2557"/>
      <c r="O804" s="2557"/>
      <c r="P804" s="2557"/>
      <c r="Q804" s="2557"/>
      <c r="R804" s="2557"/>
      <c r="S804" s="2558"/>
      <c r="T804" s="2559">
        <f>AK62</f>
        <v>0</v>
      </c>
      <c r="U804" s="2560"/>
      <c r="V804" s="2560"/>
      <c r="W804" s="2560"/>
      <c r="X804" s="2560"/>
      <c r="Y804" s="2561"/>
      <c r="Z804" s="2562">
        <v>20</v>
      </c>
      <c r="AA804" s="2560"/>
      <c r="AB804" s="2560"/>
      <c r="AC804" s="2560"/>
      <c r="AD804" s="2560"/>
      <c r="AE804" s="2561"/>
      <c r="AF804" s="2543">
        <f>IF(T804&gt;Z804,Z804,T804)</f>
        <v>0</v>
      </c>
      <c r="AG804" s="2543"/>
      <c r="AH804" s="2543"/>
      <c r="AI804" s="2543"/>
      <c r="AJ804" s="2543"/>
      <c r="AK804" s="2543"/>
      <c r="AL804" s="818"/>
      <c r="AM804" s="596"/>
      <c r="AO804" s="816"/>
      <c r="AP804" s="816"/>
      <c r="AQ804" s="816"/>
    </row>
    <row r="805" spans="1:81">
      <c r="A805" s="819" t="s">
        <v>1540</v>
      </c>
      <c r="B805" s="2557" t="s">
        <v>1312</v>
      </c>
      <c r="C805" s="2557"/>
      <c r="D805" s="2557"/>
      <c r="E805" s="2557"/>
      <c r="F805" s="2557"/>
      <c r="G805" s="2557"/>
      <c r="H805" s="2557"/>
      <c r="I805" s="2557"/>
      <c r="J805" s="2557"/>
      <c r="K805" s="2557"/>
      <c r="L805" s="2557"/>
      <c r="M805" s="2557"/>
      <c r="N805" s="2557"/>
      <c r="O805" s="2557"/>
      <c r="P805" s="2557"/>
      <c r="Q805" s="2557"/>
      <c r="R805" s="2557"/>
      <c r="S805" s="2558"/>
      <c r="T805" s="2559">
        <f>AK84</f>
        <v>10</v>
      </c>
      <c r="U805" s="2560"/>
      <c r="V805" s="2560"/>
      <c r="W805" s="2560"/>
      <c r="X805" s="2560"/>
      <c r="Y805" s="2561"/>
      <c r="Z805" s="2562">
        <v>10</v>
      </c>
      <c r="AA805" s="2560"/>
      <c r="AB805" s="2560"/>
      <c r="AC805" s="2560"/>
      <c r="AD805" s="2560"/>
      <c r="AE805" s="2561"/>
      <c r="AF805" s="2543">
        <f>IF(T805&gt;Z805,Z805,T805)</f>
        <v>10</v>
      </c>
      <c r="AG805" s="2543"/>
      <c r="AH805" s="2543"/>
      <c r="AI805" s="2543"/>
      <c r="AJ805" s="2543"/>
      <c r="AK805" s="2543"/>
      <c r="AL805" s="818"/>
      <c r="AM805" s="596"/>
      <c r="AO805" s="816"/>
      <c r="AP805" s="816"/>
      <c r="AQ805" s="816"/>
    </row>
    <row r="806" spans="1:81">
      <c r="A806" s="819" t="s">
        <v>1549</v>
      </c>
      <c r="B806" s="2557" t="s">
        <v>1322</v>
      </c>
      <c r="C806" s="2557"/>
      <c r="D806" s="2557"/>
      <c r="E806" s="2557"/>
      <c r="F806" s="2557"/>
      <c r="G806" s="2557"/>
      <c r="H806" s="2557"/>
      <c r="I806" s="2557"/>
      <c r="J806" s="2557"/>
      <c r="K806" s="2557"/>
      <c r="L806" s="2557"/>
      <c r="M806" s="2557"/>
      <c r="N806" s="2557"/>
      <c r="O806" s="2557"/>
      <c r="P806" s="2557"/>
      <c r="Q806" s="2557"/>
      <c r="R806" s="2557"/>
      <c r="S806" s="2558"/>
      <c r="T806" s="2559">
        <f ca="1">AK109</f>
        <v>20</v>
      </c>
      <c r="U806" s="2560"/>
      <c r="V806" s="2560"/>
      <c r="W806" s="2560"/>
      <c r="X806" s="2560"/>
      <c r="Y806" s="2561"/>
      <c r="Z806" s="2562">
        <v>20</v>
      </c>
      <c r="AA806" s="2560"/>
      <c r="AB806" s="2560"/>
      <c r="AC806" s="2560"/>
      <c r="AD806" s="2560"/>
      <c r="AE806" s="2561"/>
      <c r="AF806" s="2543">
        <f ca="1">IF(T806&gt;Z806,Z806,T806)</f>
        <v>20</v>
      </c>
      <c r="AG806" s="2543"/>
      <c r="AH806" s="2543"/>
      <c r="AI806" s="2543"/>
      <c r="AJ806" s="2543"/>
      <c r="AK806" s="2543"/>
      <c r="AL806" s="818"/>
      <c r="AM806" s="596"/>
      <c r="AO806" s="816"/>
      <c r="AP806" s="816"/>
      <c r="AQ806" s="816"/>
    </row>
    <row r="807" spans="1:81">
      <c r="A807" s="819" t="s">
        <v>1571</v>
      </c>
      <c r="B807" s="2557" t="s">
        <v>1332</v>
      </c>
      <c r="C807" s="2557"/>
      <c r="D807" s="2557"/>
      <c r="E807" s="2557"/>
      <c r="F807" s="2557"/>
      <c r="G807" s="2557"/>
      <c r="H807" s="2557"/>
      <c r="I807" s="2557"/>
      <c r="J807" s="2557"/>
      <c r="K807" s="2557"/>
      <c r="L807" s="2557"/>
      <c r="M807" s="2557"/>
      <c r="N807" s="2557"/>
      <c r="O807" s="2557"/>
      <c r="P807" s="2557"/>
      <c r="Q807" s="2557"/>
      <c r="R807" s="2557"/>
      <c r="S807" s="2558"/>
      <c r="T807" s="2559">
        <f>AK143</f>
        <v>10</v>
      </c>
      <c r="U807" s="2560"/>
      <c r="V807" s="2560"/>
      <c r="W807" s="2560"/>
      <c r="X807" s="2560"/>
      <c r="Y807" s="2561"/>
      <c r="Z807" s="2562">
        <v>10</v>
      </c>
      <c r="AA807" s="2560"/>
      <c r="AB807" s="2560"/>
      <c r="AC807" s="2560"/>
      <c r="AD807" s="2560"/>
      <c r="AE807" s="2561"/>
      <c r="AF807" s="2543">
        <f>IF(T807&gt;Z807,Z807,T807)</f>
        <v>10</v>
      </c>
      <c r="AG807" s="2543"/>
      <c r="AH807" s="2543"/>
      <c r="AI807" s="2543"/>
      <c r="AJ807" s="2543"/>
      <c r="AK807" s="2543"/>
      <c r="AL807" s="818"/>
      <c r="AM807" s="596"/>
      <c r="AO807" s="816"/>
      <c r="AP807" s="816"/>
      <c r="AQ807" s="816"/>
    </row>
    <row r="808" spans="1:81">
      <c r="A808" s="820" t="s">
        <v>1572</v>
      </c>
      <c r="B808" s="2557" t="s">
        <v>1573</v>
      </c>
      <c r="C808" s="2557"/>
      <c r="D808" s="2557"/>
      <c r="E808" s="2557"/>
      <c r="F808" s="2557"/>
      <c r="G808" s="2557"/>
      <c r="H808" s="2557"/>
      <c r="I808" s="2557"/>
      <c r="J808" s="2557"/>
      <c r="K808" s="2557"/>
      <c r="L808" s="2557"/>
      <c r="M808" s="2557"/>
      <c r="N808" s="2557"/>
      <c r="O808" s="2557"/>
      <c r="P808" s="2557"/>
      <c r="Q808" s="2557"/>
      <c r="R808" s="2557"/>
      <c r="S808" s="2558"/>
      <c r="T808" s="2583">
        <f>SUM(T809:Y810)</f>
        <v>10</v>
      </c>
      <c r="U808" s="2583"/>
      <c r="V808" s="2583"/>
      <c r="W808" s="2583"/>
      <c r="X808" s="2583"/>
      <c r="Y808" s="2583"/>
      <c r="Z808" s="2543">
        <v>10</v>
      </c>
      <c r="AA808" s="2543"/>
      <c r="AB808" s="2543"/>
      <c r="AC808" s="2543"/>
      <c r="AD808" s="2543"/>
      <c r="AE808" s="2543"/>
      <c r="AF808" s="2543">
        <f>IF(T808&gt;Z808,Z808,T808)</f>
        <v>10</v>
      </c>
      <c r="AG808" s="2543"/>
      <c r="AH808" s="2543"/>
      <c r="AI808" s="2543"/>
      <c r="AJ808" s="2543"/>
      <c r="AK808" s="2543"/>
      <c r="AL808" s="818"/>
      <c r="AM808" s="596"/>
    </row>
    <row r="809" spans="1:81">
      <c r="A809" s="535"/>
      <c r="B809" s="601"/>
      <c r="C809" s="2584" t="s">
        <v>1574</v>
      </c>
      <c r="D809" s="2584"/>
      <c r="E809" s="2584"/>
      <c r="F809" s="2584"/>
      <c r="G809" s="2584"/>
      <c r="H809" s="2584"/>
      <c r="I809" s="2584"/>
      <c r="J809" s="2584"/>
      <c r="K809" s="2584"/>
      <c r="L809" s="2584"/>
      <c r="M809" s="2584"/>
      <c r="N809" s="2584"/>
      <c r="O809" s="2584"/>
      <c r="P809" s="2584"/>
      <c r="Q809" s="2584"/>
      <c r="R809" s="2584"/>
      <c r="S809" s="2585"/>
      <c r="T809" s="2476">
        <f>AJ166</f>
        <v>7</v>
      </c>
      <c r="U809" s="2476"/>
      <c r="V809" s="2476"/>
      <c r="W809" s="2476"/>
      <c r="X809" s="2476"/>
      <c r="Y809" s="2476"/>
      <c r="Z809" s="2477">
        <v>7</v>
      </c>
      <c r="AA809" s="2477"/>
      <c r="AB809" s="2477"/>
      <c r="AC809" s="2477"/>
      <c r="AD809" s="2477"/>
      <c r="AE809" s="2477"/>
      <c r="AF809" s="2586"/>
      <c r="AG809" s="2586"/>
      <c r="AH809" s="2586"/>
      <c r="AI809" s="2586"/>
      <c r="AJ809" s="2586"/>
      <c r="AK809" s="2586"/>
      <c r="AL809" s="818"/>
      <c r="AM809" s="596"/>
    </row>
    <row r="810" spans="1:81">
      <c r="A810" s="600"/>
      <c r="B810" s="601"/>
      <c r="C810" s="2584" t="s">
        <v>1575</v>
      </c>
      <c r="D810" s="2584"/>
      <c r="E810" s="2584"/>
      <c r="F810" s="2584"/>
      <c r="G810" s="2584"/>
      <c r="H810" s="2584"/>
      <c r="I810" s="2584"/>
      <c r="J810" s="2584"/>
      <c r="K810" s="2584"/>
      <c r="L810" s="2584"/>
      <c r="M810" s="2584"/>
      <c r="N810" s="2584"/>
      <c r="O810" s="2584"/>
      <c r="P810" s="2584"/>
      <c r="Q810" s="2584"/>
      <c r="R810" s="2584"/>
      <c r="S810" s="2585"/>
      <c r="T810" s="2476">
        <f>AJ180</f>
        <v>3</v>
      </c>
      <c r="U810" s="2476"/>
      <c r="V810" s="2476"/>
      <c r="W810" s="2476"/>
      <c r="X810" s="2476"/>
      <c r="Y810" s="2476"/>
      <c r="Z810" s="2477">
        <v>3</v>
      </c>
      <c r="AA810" s="2477"/>
      <c r="AB810" s="2477"/>
      <c r="AC810" s="2477"/>
      <c r="AD810" s="2477"/>
      <c r="AE810" s="2477"/>
      <c r="AF810" s="2586"/>
      <c r="AG810" s="2586"/>
      <c r="AH810" s="2586"/>
      <c r="AI810" s="2586"/>
      <c r="AJ810" s="2586"/>
      <c r="AK810" s="2586"/>
      <c r="AL810" s="818"/>
      <c r="AM810" s="596"/>
      <c r="AO810" s="550"/>
    </row>
    <row r="811" spans="1:81">
      <c r="A811" s="820" t="s">
        <v>1360</v>
      </c>
      <c r="B811" s="2557" t="s">
        <v>1576</v>
      </c>
      <c r="C811" s="2557"/>
      <c r="D811" s="2557"/>
      <c r="E811" s="2557"/>
      <c r="F811" s="2557"/>
      <c r="G811" s="2557"/>
      <c r="H811" s="2557"/>
      <c r="I811" s="2557"/>
      <c r="J811" s="2557"/>
      <c r="K811" s="2557"/>
      <c r="L811" s="2557"/>
      <c r="M811" s="2557"/>
      <c r="N811" s="2557"/>
      <c r="O811" s="2557"/>
      <c r="P811" s="2557"/>
      <c r="Q811" s="2557"/>
      <c r="R811" s="2557"/>
      <c r="S811" s="2558"/>
      <c r="T811" s="2583">
        <f>AK191</f>
        <v>10</v>
      </c>
      <c r="U811" s="2583"/>
      <c r="V811" s="2583"/>
      <c r="W811" s="2583"/>
      <c r="X811" s="2583"/>
      <c r="Y811" s="2583"/>
      <c r="Z811" s="2543">
        <v>10</v>
      </c>
      <c r="AA811" s="2543"/>
      <c r="AB811" s="2543"/>
      <c r="AC811" s="2543"/>
      <c r="AD811" s="2543"/>
      <c r="AE811" s="2543"/>
      <c r="AF811" s="2543">
        <f>IF(T811&gt;Z811,Z811,T811)</f>
        <v>10</v>
      </c>
      <c r="AG811" s="2543"/>
      <c r="AH811" s="2543"/>
      <c r="AI811" s="2543"/>
      <c r="AJ811" s="2543"/>
      <c r="AK811" s="2543"/>
      <c r="AL811" s="818"/>
      <c r="AM811" s="596"/>
    </row>
    <row r="812" spans="1:81">
      <c r="A812" s="819" t="s">
        <v>1369</v>
      </c>
      <c r="B812" s="2557" t="s">
        <v>1370</v>
      </c>
      <c r="C812" s="2557"/>
      <c r="D812" s="2557"/>
      <c r="E812" s="2557"/>
      <c r="F812" s="2557"/>
      <c r="G812" s="2557"/>
      <c r="H812" s="2557"/>
      <c r="I812" s="2557"/>
      <c r="J812" s="2557"/>
      <c r="K812" s="2557"/>
      <c r="L812" s="2557"/>
      <c r="M812" s="2557"/>
      <c r="N812" s="2557"/>
      <c r="O812" s="2557"/>
      <c r="P812" s="2557"/>
      <c r="Q812" s="2557"/>
      <c r="R812" s="2557"/>
      <c r="S812" s="2558"/>
      <c r="T812" s="2583">
        <f>AK273</f>
        <v>8</v>
      </c>
      <c r="U812" s="2583"/>
      <c r="V812" s="2583"/>
      <c r="W812" s="2583"/>
      <c r="X812" s="2583"/>
      <c r="Y812" s="2583"/>
      <c r="Z812" s="2562">
        <v>8</v>
      </c>
      <c r="AA812" s="2560"/>
      <c r="AB812" s="2560"/>
      <c r="AC812" s="2560"/>
      <c r="AD812" s="2560"/>
      <c r="AE812" s="2561"/>
      <c r="AF812" s="2543">
        <f>IF(T812&gt;Z812,Z812,T812)</f>
        <v>8</v>
      </c>
      <c r="AG812" s="2543"/>
      <c r="AH812" s="2543"/>
      <c r="AI812" s="2543"/>
      <c r="AJ812" s="2543"/>
      <c r="AK812" s="2543"/>
      <c r="AL812" s="818"/>
      <c r="AM812" s="596"/>
    </row>
    <row r="813" spans="1:81" s="534" customFormat="1" hidden="1">
      <c r="A813" s="820" t="s">
        <v>589</v>
      </c>
      <c r="B813" s="2557" t="s">
        <v>1577</v>
      </c>
      <c r="C813" s="2557"/>
      <c r="D813" s="2557"/>
      <c r="E813" s="2557"/>
      <c r="F813" s="2557"/>
      <c r="G813" s="2557"/>
      <c r="H813" s="2557"/>
      <c r="I813" s="2557"/>
      <c r="J813" s="2557"/>
      <c r="K813" s="2557"/>
      <c r="L813" s="2557"/>
      <c r="M813" s="2557"/>
      <c r="N813" s="2557"/>
      <c r="O813" s="2557"/>
      <c r="P813" s="2557"/>
      <c r="Q813" s="2557"/>
      <c r="R813" s="2557"/>
      <c r="S813" s="2558"/>
      <c r="T813" s="2583">
        <f>IF(AK535&gt;5,5,AK535)</f>
        <v>0</v>
      </c>
      <c r="U813" s="2583"/>
      <c r="V813" s="2583"/>
      <c r="W813" s="2583"/>
      <c r="X813" s="2583"/>
      <c r="Y813" s="2583"/>
      <c r="Z813" s="2543">
        <v>5</v>
      </c>
      <c r="AA813" s="2543"/>
      <c r="AB813" s="2543"/>
      <c r="AC813" s="2543"/>
      <c r="AD813" s="2543"/>
      <c r="AE813" s="2543"/>
      <c r="AF813" s="2543">
        <f>IF(T813&gt;Z813,5,T813)</f>
        <v>0</v>
      </c>
      <c r="AG813" s="2543"/>
      <c r="AH813" s="2543"/>
      <c r="AI813" s="2543"/>
      <c r="AJ813" s="2543"/>
      <c r="AK813" s="2543"/>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1375</v>
      </c>
      <c r="B814" s="2557" t="s">
        <v>1578</v>
      </c>
      <c r="C814" s="2557"/>
      <c r="D814" s="2557"/>
      <c r="E814" s="2557"/>
      <c r="F814" s="2557"/>
      <c r="G814" s="2557"/>
      <c r="H814" s="2557"/>
      <c r="I814" s="2557"/>
      <c r="J814" s="2557"/>
      <c r="K814" s="2557"/>
      <c r="L814" s="2557"/>
      <c r="M814" s="2557"/>
      <c r="N814" s="2557"/>
      <c r="O814" s="2557"/>
      <c r="P814" s="2557"/>
      <c r="Q814" s="2557"/>
      <c r="R814" s="2557"/>
      <c r="S814" s="2558"/>
      <c r="T814" s="2583">
        <f>AK285</f>
        <v>10</v>
      </c>
      <c r="U814" s="2583"/>
      <c r="V814" s="2583"/>
      <c r="W814" s="2583"/>
      <c r="X814" s="2583"/>
      <c r="Y814" s="2583"/>
      <c r="Z814" s="2543">
        <v>10</v>
      </c>
      <c r="AA814" s="2543"/>
      <c r="AB814" s="2543"/>
      <c r="AC814" s="2543"/>
      <c r="AD814" s="2543"/>
      <c r="AE814" s="2543"/>
      <c r="AF814" s="2589">
        <f>IF(T814&gt;Z814,Z814,T814)</f>
        <v>10</v>
      </c>
      <c r="AG814" s="2590"/>
      <c r="AH814" s="2590"/>
      <c r="AI814" s="2590"/>
      <c r="AJ814" s="2590"/>
      <c r="AK814" s="2591"/>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1379</v>
      </c>
      <c r="B815" s="2557" t="s">
        <v>1380</v>
      </c>
      <c r="C815" s="2557"/>
      <c r="D815" s="2557"/>
      <c r="E815" s="2557"/>
      <c r="F815" s="2557"/>
      <c r="G815" s="2557"/>
      <c r="H815" s="2557"/>
      <c r="I815" s="2557"/>
      <c r="J815" s="2557"/>
      <c r="K815" s="2557"/>
      <c r="L815" s="2557"/>
      <c r="M815" s="2557"/>
      <c r="N815" s="2557"/>
      <c r="O815" s="2557"/>
      <c r="P815" s="2557"/>
      <c r="Q815" s="2557"/>
      <c r="R815" s="2557"/>
      <c r="S815" s="2558"/>
      <c r="T815" s="2583">
        <f>AK338</f>
        <v>9</v>
      </c>
      <c r="U815" s="2583"/>
      <c r="V815" s="2583"/>
      <c r="W815" s="2583"/>
      <c r="X815" s="2583"/>
      <c r="Y815" s="2583"/>
      <c r="Z815" s="2589">
        <v>10</v>
      </c>
      <c r="AA815" s="2590"/>
      <c r="AB815" s="2590"/>
      <c r="AC815" s="2590"/>
      <c r="AD815" s="2590"/>
      <c r="AE815" s="2591"/>
      <c r="AF815" s="2589">
        <f>IF(T815&gt;Z815,Z815,T815)</f>
        <v>9</v>
      </c>
      <c r="AG815" s="2590"/>
      <c r="AH815" s="2590"/>
      <c r="AI815" s="2590"/>
      <c r="AJ815" s="2590"/>
      <c r="AK815" s="2591"/>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1579</v>
      </c>
      <c r="D816" s="823"/>
      <c r="E816" s="823"/>
      <c r="F816" s="823"/>
      <c r="G816" s="823"/>
      <c r="H816" s="823"/>
      <c r="I816" s="823"/>
      <c r="J816" s="823"/>
      <c r="K816" s="823"/>
      <c r="L816" s="823"/>
      <c r="M816" s="823"/>
      <c r="N816" s="823"/>
      <c r="O816" s="823"/>
      <c r="P816" s="823"/>
      <c r="Q816" s="823"/>
      <c r="R816" s="821"/>
      <c r="S816" s="824"/>
      <c r="T816" s="2476">
        <f>AK338</f>
        <v>9</v>
      </c>
      <c r="U816" s="2476"/>
      <c r="V816" s="2476"/>
      <c r="W816" s="2476"/>
      <c r="X816" s="2476"/>
      <c r="Y816" s="2476"/>
      <c r="Z816" s="2481">
        <v>20</v>
      </c>
      <c r="AA816" s="2482"/>
      <c r="AB816" s="2482"/>
      <c r="AC816" s="2482"/>
      <c r="AD816" s="2482"/>
      <c r="AE816" s="2483"/>
      <c r="AF816" s="2586"/>
      <c r="AG816" s="2586"/>
      <c r="AH816" s="2586"/>
      <c r="AI816" s="2586"/>
      <c r="AJ816" s="2586"/>
      <c r="AK816" s="2586"/>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1452</v>
      </c>
      <c r="B817" s="2557" t="s">
        <v>845</v>
      </c>
      <c r="C817" s="2557"/>
      <c r="D817" s="2557"/>
      <c r="E817" s="2557"/>
      <c r="F817" s="2557"/>
      <c r="G817" s="2557"/>
      <c r="H817" s="2557"/>
      <c r="I817" s="2557"/>
      <c r="J817" s="2557"/>
      <c r="K817" s="2557"/>
      <c r="L817" s="2557"/>
      <c r="M817" s="2557"/>
      <c r="N817" s="2557"/>
      <c r="O817" s="2557"/>
      <c r="P817" s="2557"/>
      <c r="Q817" s="2557"/>
      <c r="R817" s="2557"/>
      <c r="S817" s="2558"/>
      <c r="T817" s="2583">
        <f>AK469</f>
        <v>10</v>
      </c>
      <c r="U817" s="2583"/>
      <c r="V817" s="2583"/>
      <c r="W817" s="2583"/>
      <c r="X817" s="2583"/>
      <c r="Y817" s="2583"/>
      <c r="Z817" s="2589">
        <v>10</v>
      </c>
      <c r="AA817" s="2590"/>
      <c r="AB817" s="2590"/>
      <c r="AC817" s="2590"/>
      <c r="AD817" s="2590"/>
      <c r="AE817" s="2591"/>
      <c r="AF817" s="2543">
        <f>IF(T817&gt;Z817,Z817,T817)</f>
        <v>10</v>
      </c>
      <c r="AG817" s="2543"/>
      <c r="AH817" s="2543"/>
      <c r="AI817" s="2543"/>
      <c r="AJ817" s="2543"/>
      <c r="AK817" s="2543"/>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1557</v>
      </c>
      <c r="B818" s="2557" t="s">
        <v>1558</v>
      </c>
      <c r="C818" s="2557"/>
      <c r="D818" s="2557"/>
      <c r="E818" s="2557"/>
      <c r="F818" s="2557"/>
      <c r="G818" s="2557"/>
      <c r="H818" s="2557"/>
      <c r="I818" s="2557"/>
      <c r="J818" s="2557"/>
      <c r="K818" s="2557"/>
      <c r="L818" s="2557"/>
      <c r="M818" s="2557"/>
      <c r="N818" s="2557"/>
      <c r="O818" s="2557"/>
      <c r="P818" s="2557"/>
      <c r="Q818" s="2557"/>
      <c r="R818" s="2557"/>
      <c r="S818" s="2558"/>
      <c r="T818" s="2583">
        <f>AK559</f>
        <v>12</v>
      </c>
      <c r="U818" s="2583"/>
      <c r="V818" s="2583"/>
      <c r="W818" s="2583"/>
      <c r="X818" s="2583"/>
      <c r="Y818" s="2583"/>
      <c r="Z818" s="2589">
        <v>12</v>
      </c>
      <c r="AA818" s="2590"/>
      <c r="AB818" s="2590"/>
      <c r="AC818" s="2590"/>
      <c r="AD818" s="2590"/>
      <c r="AE818" s="2591"/>
      <c r="AF818" s="2543">
        <f>IF(T818&gt;Z818,Z818,T818)</f>
        <v>12</v>
      </c>
      <c r="AG818" s="2543"/>
      <c r="AH818" s="2543"/>
      <c r="AI818" s="2543"/>
      <c r="AJ818" s="2543"/>
      <c r="AK818" s="2543"/>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2020</v>
      </c>
      <c r="B819" s="2557" t="s">
        <v>1580</v>
      </c>
      <c r="C819" s="2557"/>
      <c r="D819" s="2557"/>
      <c r="E819" s="2557"/>
      <c r="F819" s="2557"/>
      <c r="G819" s="2557"/>
      <c r="H819" s="2557"/>
      <c r="I819" s="2557"/>
      <c r="J819" s="2557"/>
      <c r="K819" s="2557"/>
      <c r="L819" s="2557"/>
      <c r="M819" s="2557"/>
      <c r="N819" s="2557"/>
      <c r="O819" s="2557"/>
      <c r="P819" s="2557"/>
      <c r="Q819" s="2557"/>
      <c r="R819" s="2557"/>
      <c r="S819" s="2558"/>
      <c r="T819" s="2583">
        <f>AK794</f>
        <v>10</v>
      </c>
      <c r="U819" s="2583"/>
      <c r="V819" s="2583"/>
      <c r="W819" s="2583"/>
      <c r="X819" s="2583"/>
      <c r="Y819" s="2583"/>
      <c r="Z819" s="2589">
        <v>10</v>
      </c>
      <c r="AA819" s="2590"/>
      <c r="AB819" s="2590"/>
      <c r="AC819" s="2590"/>
      <c r="AD819" s="2590"/>
      <c r="AE819" s="2591"/>
      <c r="AF819" s="2543">
        <f>IF(T819&gt;Z819,Z819,T819)</f>
        <v>10</v>
      </c>
      <c r="AG819" s="2543"/>
      <c r="AH819" s="2543"/>
      <c r="AI819" s="2543"/>
      <c r="AJ819" s="2543"/>
      <c r="AK819" s="2543"/>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7" t="s">
        <v>1581</v>
      </c>
      <c r="B820" s="2557"/>
      <c r="C820" s="2557"/>
      <c r="D820" s="2557"/>
      <c r="E820" s="2557"/>
      <c r="F820" s="2557"/>
      <c r="G820" s="2557"/>
      <c r="H820" s="2557"/>
      <c r="I820" s="2557"/>
      <c r="J820" s="2557"/>
      <c r="K820" s="2557"/>
      <c r="L820" s="2557"/>
      <c r="M820" s="2557"/>
      <c r="N820" s="2557"/>
      <c r="O820" s="2557"/>
      <c r="P820" s="2557"/>
      <c r="Q820" s="2557"/>
      <c r="R820" s="2557"/>
      <c r="S820" s="2558"/>
      <c r="T820" s="2588"/>
      <c r="U820" s="2588"/>
      <c r="V820" s="2588"/>
      <c r="W820" s="2588"/>
      <c r="X820" s="2588"/>
      <c r="Y820" s="2588"/>
      <c r="Z820" s="2477" t="s">
        <v>1582</v>
      </c>
      <c r="AA820" s="2477"/>
      <c r="AB820" s="2477"/>
      <c r="AC820" s="2477"/>
      <c r="AD820" s="2477"/>
      <c r="AE820" s="2477"/>
      <c r="AF820" s="2589">
        <f>IF(T820&gt;0,T820,0)</f>
        <v>0</v>
      </c>
      <c r="AG820" s="2590"/>
      <c r="AH820" s="2590"/>
      <c r="AI820" s="2590"/>
      <c r="AJ820" s="2590"/>
      <c r="AK820" s="2591"/>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2" t="s">
        <v>1583</v>
      </c>
      <c r="B821" s="2593"/>
      <c r="C821" s="2593"/>
      <c r="D821" s="2593"/>
      <c r="E821" s="2593"/>
      <c r="F821" s="2593"/>
      <c r="G821" s="2593"/>
      <c r="H821" s="2593"/>
      <c r="I821" s="2593"/>
      <c r="J821" s="2593"/>
      <c r="K821" s="2593"/>
      <c r="L821" s="2593"/>
      <c r="M821" s="2593"/>
      <c r="N821" s="2593"/>
      <c r="O821" s="2593"/>
      <c r="P821" s="2593"/>
      <c r="Q821" s="2593"/>
      <c r="R821" s="2593"/>
      <c r="S821" s="2593"/>
      <c r="T821" s="2593"/>
      <c r="U821" s="2593"/>
      <c r="V821" s="2593"/>
      <c r="W821" s="2593"/>
      <c r="X821" s="2593"/>
      <c r="Y821" s="2593"/>
      <c r="Z821" s="2593"/>
      <c r="AA821" s="2593"/>
      <c r="AB821" s="2593"/>
      <c r="AC821" s="2593"/>
      <c r="AD821" s="2593"/>
      <c r="AE821" s="2594"/>
      <c r="AF821" s="2598">
        <f ca="1">SUM(AF804:AK819)-AF820</f>
        <v>119</v>
      </c>
      <c r="AG821" s="2599"/>
      <c r="AH821" s="2599"/>
      <c r="AI821" s="2599"/>
      <c r="AJ821" s="2599"/>
      <c r="AK821" s="2600"/>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5"/>
      <c r="B822" s="2596"/>
      <c r="C822" s="2596"/>
      <c r="D822" s="2596"/>
      <c r="E822" s="2596"/>
      <c r="F822" s="2596"/>
      <c r="G822" s="2596"/>
      <c r="H822" s="2596"/>
      <c r="I822" s="2596"/>
      <c r="J822" s="2596"/>
      <c r="K822" s="2596"/>
      <c r="L822" s="2596"/>
      <c r="M822" s="2596"/>
      <c r="N822" s="2596"/>
      <c r="O822" s="2596"/>
      <c r="P822" s="2596"/>
      <c r="Q822" s="2596"/>
      <c r="R822" s="2596"/>
      <c r="S822" s="2596"/>
      <c r="T822" s="2596"/>
      <c r="U822" s="2596"/>
      <c r="V822" s="2596"/>
      <c r="W822" s="2596"/>
      <c r="X822" s="2596"/>
      <c r="Y822" s="2596"/>
      <c r="Z822" s="2596"/>
      <c r="AA822" s="2596"/>
      <c r="AB822" s="2596"/>
      <c r="AC822" s="2596"/>
      <c r="AD822" s="2596"/>
      <c r="AE822" s="2597"/>
      <c r="AF822" s="2601"/>
      <c r="AG822" s="2602"/>
      <c r="AH822" s="2602"/>
      <c r="AI822" s="2602"/>
      <c r="AJ822" s="2602"/>
      <c r="AK822" s="2603"/>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2025-05-16T15:37:02Z</cp:lastPrinted>
  <dcterms:created xsi:type="dcterms:W3CDTF">2007-12-27T18:26:28Z</dcterms:created>
  <dcterms:modified xsi:type="dcterms:W3CDTF">2025-06-05T17:29:09Z</dcterms:modified>
</cp:coreProperties>
</file>